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PPP Contracts" sheetId="1" r:id="rId1"/>
    <sheet name="Φύλλο1" sheetId="4" r:id="rId2"/>
    <sheet name="GRAPHS" sheetId="3" r:id="rId3"/>
  </sheets>
  <externalReferences>
    <externalReference r:id="rId4"/>
  </externalReferences>
  <definedNames>
    <definedName name="_xlnm.Print_Area" localSheetId="0">'PPP Contracts'!$A$1:$AJ$21</definedName>
  </definedNames>
  <calcPr calcId="125725"/>
</workbook>
</file>

<file path=xl/calcChain.xml><?xml version="1.0" encoding="utf-8"?>
<calcChain xmlns="http://schemas.openxmlformats.org/spreadsheetml/2006/main">
  <c r="U14" i="4"/>
  <c r="U17" s="1"/>
  <c r="T14"/>
  <c r="T17" s="1"/>
  <c r="S14"/>
  <c r="S17" s="1"/>
  <c r="R14"/>
  <c r="R17" s="1"/>
  <c r="Q14"/>
  <c r="Q17" s="1"/>
  <c r="P14"/>
  <c r="P17" s="1"/>
  <c r="O14"/>
  <c r="O17" s="1"/>
  <c r="N14"/>
  <c r="N17" s="1"/>
  <c r="M14"/>
  <c r="M17" s="1"/>
  <c r="L14"/>
  <c r="L17" s="1"/>
  <c r="K14"/>
  <c r="K17" s="1"/>
  <c r="J14"/>
  <c r="J17" s="1"/>
  <c r="I14"/>
  <c r="I17" s="1"/>
  <c r="H14"/>
  <c r="H17" s="1"/>
  <c r="G14"/>
  <c r="G17" s="1"/>
  <c r="F14"/>
  <c r="F17" s="1"/>
  <c r="E14"/>
  <c r="E17" s="1"/>
  <c r="D14"/>
  <c r="D17" s="1"/>
  <c r="C14"/>
  <c r="C17" s="1"/>
  <c r="B14"/>
  <c r="B17" s="1"/>
  <c r="AU21" i="1" l="1"/>
  <c r="AT21"/>
  <c r="AS21"/>
  <c r="AR21"/>
  <c r="AQ21"/>
  <c r="AP21"/>
  <c r="AO21"/>
  <c r="AN21"/>
  <c r="AM21"/>
  <c r="AL21"/>
  <c r="AK21"/>
  <c r="AU20"/>
  <c r="AT20"/>
  <c r="AS20"/>
  <c r="AR20"/>
  <c r="AQ20"/>
  <c r="AP20"/>
  <c r="AO20"/>
  <c r="AN20"/>
  <c r="AM20"/>
  <c r="AL20"/>
  <c r="AK20"/>
  <c r="AJ21"/>
  <c r="AI21"/>
  <c r="AH21"/>
  <c r="AG21"/>
  <c r="AF21"/>
  <c r="AE21"/>
  <c r="AD21"/>
  <c r="AC21"/>
  <c r="AJ20"/>
  <c r="AI20"/>
  <c r="AH20"/>
  <c r="AG20"/>
  <c r="AF20"/>
  <c r="AE20"/>
  <c r="S21"/>
  <c r="I21" l="1"/>
  <c r="M21"/>
  <c r="I20" l="1"/>
  <c r="Z6" l="1"/>
  <c r="Z7"/>
  <c r="Z12"/>
  <c r="Z11"/>
  <c r="Z3" l="1"/>
  <c r="AH28"/>
  <c r="AG28"/>
  <c r="AF28"/>
  <c r="AE28"/>
  <c r="AD28"/>
  <c r="AC28"/>
  <c r="AB28"/>
  <c r="AA28"/>
  <c r="Z28"/>
  <c r="Y28"/>
  <c r="X28"/>
  <c r="W28"/>
  <c r="V28"/>
  <c r="U28"/>
  <c r="AB23"/>
  <c r="AG19"/>
  <c r="AB12"/>
  <c r="Z13"/>
  <c r="AB13" s="1"/>
  <c r="Z10"/>
  <c r="AB10" s="1"/>
  <c r="Z8"/>
  <c r="AB9"/>
  <c r="AB6"/>
  <c r="AB24" s="1"/>
  <c r="Z5"/>
  <c r="AB7" s="1"/>
  <c r="AB25" l="1"/>
  <c r="Z2"/>
  <c r="Z4" s="1"/>
  <c r="Y2"/>
  <c r="Y3" l="1"/>
  <c r="Y4" s="1"/>
  <c r="AF19"/>
  <c r="AE19"/>
  <c r="AD19"/>
  <c r="AC19"/>
  <c r="I19" l="1"/>
  <c r="I18" l="1"/>
  <c r="X3"/>
  <c r="X2"/>
  <c r="X4" s="1"/>
  <c r="I15" l="1"/>
  <c r="I2"/>
  <c r="I5"/>
  <c r="I8"/>
  <c r="I11"/>
  <c r="I14"/>
  <c r="I16"/>
  <c r="AJ14"/>
  <c r="AI14"/>
  <c r="AH14"/>
  <c r="AG14"/>
  <c r="AF14"/>
  <c r="AE14"/>
  <c r="AD14"/>
  <c r="AC14"/>
  <c r="I17" l="1"/>
  <c r="B30" l="1"/>
  <c r="B31"/>
  <c r="B32"/>
  <c r="B29"/>
  <c r="U2"/>
  <c r="U3"/>
  <c r="V2"/>
  <c r="V3"/>
  <c r="W2"/>
  <c r="W3"/>
  <c r="AJ11"/>
  <c r="AI11"/>
  <c r="AH11"/>
  <c r="AG11"/>
  <c r="AF11"/>
  <c r="AE11"/>
  <c r="AD11"/>
  <c r="AC11"/>
  <c r="AB3" l="1"/>
  <c r="U4"/>
  <c r="W4"/>
  <c r="V4"/>
  <c r="AB4" l="1"/>
  <c r="S5" i="4"/>
  <c r="O5"/>
  <c r="K5"/>
  <c r="G5"/>
  <c r="C5"/>
  <c r="R5"/>
  <c r="N5"/>
  <c r="J5"/>
  <c r="F5"/>
  <c r="B5"/>
  <c r="B8" s="1"/>
  <c r="I5"/>
  <c r="I8" s="1"/>
  <c r="H5"/>
  <c r="H8"/>
  <c r="D5"/>
  <c r="D8"/>
  <c r="T5"/>
  <c r="T8" s="1"/>
  <c r="P5"/>
  <c r="P8" s="1"/>
  <c r="L5"/>
  <c r="L8" s="1"/>
  <c r="U5"/>
  <c r="U8" s="1"/>
  <c r="Q5"/>
  <c r="Q8" s="1"/>
  <c r="M5"/>
  <c r="M8" s="1"/>
  <c r="E5"/>
  <c r="E8" s="1"/>
  <c r="J8" l="1"/>
  <c r="R8"/>
  <c r="G8"/>
  <c r="O8"/>
  <c r="F8"/>
  <c r="N8"/>
  <c r="C8"/>
  <c r="K8"/>
  <c r="S8"/>
</calcChain>
</file>

<file path=xl/sharedStrings.xml><?xml version="1.0" encoding="utf-8"?>
<sst xmlns="http://schemas.openxmlformats.org/spreadsheetml/2006/main" count="527" uniqueCount="131">
  <si>
    <t xml:space="preserve">Project Title </t>
  </si>
  <si>
    <t xml:space="preserve">Contract Duration </t>
  </si>
  <si>
    <t xml:space="preserve">Sign of contract </t>
  </si>
  <si>
    <t xml:space="preserve">Expected Date of start of Operation  (under contract) </t>
  </si>
  <si>
    <t xml:space="preserve">Senior Lenders </t>
  </si>
  <si>
    <t xml:space="preserve">SPV Sponsors </t>
  </si>
  <si>
    <t xml:space="preserve">VAT Provider </t>
  </si>
  <si>
    <t xml:space="preserve">Attica Urban Transportation-Telematics System  </t>
  </si>
  <si>
    <t xml:space="preserve">27 years  (25 years operation, 2 years construction) </t>
  </si>
  <si>
    <t>-</t>
  </si>
  <si>
    <t xml:space="preserve">Eurobank  </t>
  </si>
  <si>
    <t xml:space="preserve">Alpha Bank </t>
  </si>
  <si>
    <t>12 years  (10.5 years operation, 18 months construction)</t>
  </si>
  <si>
    <t>National Bank of Greece</t>
  </si>
  <si>
    <t xml:space="preserve">EIB - Eurobank  </t>
  </si>
  <si>
    <t>Project Status</t>
  </si>
  <si>
    <t>In Operation</t>
  </si>
  <si>
    <t>Source of State Financial Contribution</t>
  </si>
  <si>
    <t>NSRF (ESPA)</t>
  </si>
  <si>
    <t>Total Actual Payments</t>
  </si>
  <si>
    <t>Total Actual Savings</t>
  </si>
  <si>
    <t xml:space="preserve">Actual Delivery Date </t>
  </si>
  <si>
    <t>Grantor</t>
  </si>
  <si>
    <t>Athens Urban Transport Organisation</t>
  </si>
  <si>
    <t>School Buildings Organisation SA</t>
  </si>
  <si>
    <t xml:space="preserve">25 years  (23 years, 2 years construction) </t>
  </si>
  <si>
    <t>Senior Long Term Debt Facility (million euros)</t>
  </si>
  <si>
    <t>Equity (million euros)</t>
  </si>
  <si>
    <t>VAT Facility (million euros)</t>
  </si>
  <si>
    <t>State Financial Contribution during Construction (million euros)</t>
  </si>
  <si>
    <t xml:space="preserve">EIB – National Bank of Greece (JESSICA) </t>
  </si>
  <si>
    <t xml:space="preserve">Attica Schools S.A. (ATESE S.A. 100%)  </t>
  </si>
  <si>
    <t xml:space="preserve">JPA Attica Schools Construction and Management (J&amp;P – AVAX 100%)  </t>
  </si>
  <si>
    <t>Advanced Transport Telematics (INTRASOFT INTERNATIONAL - INTRAKAT 50%-50%)</t>
  </si>
  <si>
    <t>Type of project / Payments from the State</t>
  </si>
  <si>
    <t>PPP Projects under PPP Law 3389/2005</t>
  </si>
  <si>
    <t>Under Construction</t>
  </si>
  <si>
    <t xml:space="preserve">National Bank of Greece (commercial lender and JESSICA funds provider) </t>
  </si>
  <si>
    <t>Gradually, 2011 - Sep 2014</t>
  </si>
  <si>
    <t>Availability Payments from PIB</t>
  </si>
  <si>
    <t>PIB:</t>
  </si>
  <si>
    <t>Public Investment Budget</t>
  </si>
  <si>
    <t>Total Project Cost (mn euros)</t>
  </si>
  <si>
    <t>SUM</t>
  </si>
  <si>
    <t>Annual Availability Payments In Operational Period  - 2011</t>
  </si>
  <si>
    <t>Annual Availability Payments In Operational Period - 2012</t>
  </si>
  <si>
    <t>Annual Availability Payments In Operational Period - 2013</t>
  </si>
  <si>
    <t>Annual Availability Payments In Operational Period  - 2014</t>
  </si>
  <si>
    <t>Annual Availability Payments In Operational Period - 2015</t>
  </si>
  <si>
    <t>Annual Availability Payments In Operational Period - 2016</t>
  </si>
  <si>
    <t>Annual Availability Payments In Operational Period - 2017</t>
  </si>
  <si>
    <t>Annual Availability Payments In Operational Period  -2018</t>
  </si>
  <si>
    <t>Annual Availability Payments In Operational Period - 2019</t>
  </si>
  <si>
    <t>Annual Availability Payments In Operational Period - 2020</t>
  </si>
  <si>
    <t>Annual Availability Payments In Operational Period - 2021</t>
  </si>
  <si>
    <t>Annual Availability Payments In Operational Period - 2022</t>
  </si>
  <si>
    <t>Annual Availability Payments In Operational Period  -2023</t>
  </si>
  <si>
    <t>Annual Availability Payments In Operational Period  -2024</t>
  </si>
  <si>
    <t>Design, build, financing, maintenance and facilities management of 7 fire station buildings</t>
  </si>
  <si>
    <t>Design, financing, construction and facility management of 14 school buildings in the region of Attica</t>
  </si>
  <si>
    <t>Design, financing, construction and facility management of 10 school buildings in the region of Attica</t>
  </si>
  <si>
    <t>Under Contract</t>
  </si>
  <si>
    <t>Actual payments</t>
  </si>
  <si>
    <r>
      <t xml:space="preserve">Savings </t>
    </r>
    <r>
      <rPr>
        <i/>
        <sz val="11"/>
        <color indexed="8"/>
        <rFont val="Calibri"/>
        <family val="2"/>
        <charset val="161"/>
      </rPr>
      <t>(due to late delivery/performance deductions)</t>
    </r>
  </si>
  <si>
    <t xml:space="preserve">Fire Brigades Partnership S.A. (Gantzoulas S.A. 100%) </t>
  </si>
  <si>
    <t>NO</t>
  </si>
  <si>
    <t>Guarantee to creditors on partner's borrowing</t>
  </si>
  <si>
    <t>Guarantee to partner on debt repayment</t>
  </si>
  <si>
    <t>Guarantee to partner on minimum return on equity</t>
  </si>
  <si>
    <t>Guarantee to partner on minimum revenue level</t>
  </si>
  <si>
    <t>Government commitment that it will repay the debt of the partner if the latter has not sufficient resources for that (or in the event of problems with short-term liquidity)</t>
  </si>
  <si>
    <t>Guarantee against the impact of an increase in prices  of production factors</t>
  </si>
  <si>
    <t>Guarantee against unforeseen technical obsolescence</t>
  </si>
  <si>
    <t>Guarantee against unfavourable macro-economic trends</t>
  </si>
  <si>
    <t>Guarantee on cost of refinancing</t>
  </si>
  <si>
    <t xml:space="preserve"> Other type of guarantee (specify in comments)</t>
  </si>
  <si>
    <t>Amendments to the signed contract</t>
  </si>
  <si>
    <t xml:space="preserve"> NO</t>
  </si>
  <si>
    <t>Guarantees/ contingent liabilities</t>
  </si>
  <si>
    <t>Implementation of an Integrated Automatic Fare Collection System in the Athens urban transportation</t>
  </si>
  <si>
    <t xml:space="preserve">12 years (10 years, 2 years construction) </t>
  </si>
  <si>
    <t>Hellas Smarticket S.A. ( TERNA ENERGY - LG CNS)</t>
  </si>
  <si>
    <t>EXPORT-IMPORT BANK OF KOREA</t>
  </si>
  <si>
    <t>Broadband development in rural areas of Greece            (Lot 1)</t>
  </si>
  <si>
    <t>Broadband development in rural areas of Greece            (Lot 2)</t>
  </si>
  <si>
    <t>Broadband development in rural areas of Greece            (Lot 3)</t>
  </si>
  <si>
    <t xml:space="preserve">17 years (15 years, 2 years construction) </t>
  </si>
  <si>
    <t>ΟΤΕ RURAL NORTH (OTE S.A.)</t>
  </si>
  <si>
    <t>Information Society SA</t>
  </si>
  <si>
    <t>ΟΤΕ RURAL SOUTH    (OTE S.A.)</t>
  </si>
  <si>
    <t>RURAL CONNECT BROABAND NETWORKS (INTRAKAT - INTRACOM HOLDINGS - HELLAS ON LINE)</t>
  </si>
  <si>
    <t>Annual Availability Payments In Operational Period        (mn euros)</t>
  </si>
  <si>
    <t>Concession</t>
  </si>
  <si>
    <t>Design, financing, construction, maintenance and operation of the facilities for the integrated waste management system in the Region of Western Macedonia</t>
  </si>
  <si>
    <t xml:space="preserve">27 years  (25 years, 2 years construction) </t>
  </si>
  <si>
    <t>EPADYM S.A. (AKTOR Concessions - HELEKTOR)</t>
  </si>
  <si>
    <t>DIADYMA SA</t>
  </si>
  <si>
    <t xml:space="preserve">EIB – Investment Bank of Greece (JESSICA) </t>
  </si>
  <si>
    <t>Digital recording, archiving and provision of court minutes at district courts, courts of appeal and local courts of the country</t>
  </si>
  <si>
    <t xml:space="preserve">5 years and 4 months (5 years, 4 months construction) </t>
  </si>
  <si>
    <t>Profile Digital Services S.A. (Profile Systems and Software</t>
  </si>
  <si>
    <t>Ministry Of Justice, Transparency and Human Rights</t>
  </si>
  <si>
    <t>Savings (due to late delivery/performance deductions)</t>
  </si>
  <si>
    <t>Payments 2011-2016</t>
  </si>
  <si>
    <r>
      <t xml:space="preserve">Savings </t>
    </r>
    <r>
      <rPr>
        <sz val="11"/>
        <color indexed="8"/>
        <rFont val="Calibri"/>
        <family val="2"/>
      </rPr>
      <t>(due to late delivery/performance deductions)</t>
    </r>
  </si>
  <si>
    <t>Gradually, Apr 2016 - Feb 2017</t>
  </si>
  <si>
    <t>Gradually, 2016 - 2017</t>
  </si>
  <si>
    <t>Annual Availability Payments Under Contract</t>
  </si>
  <si>
    <t>Design, financing, construction, maintenance and operation of the waste treatment facilities in the region of Serres</t>
  </si>
  <si>
    <t>SIRRA S.A. (ARCHIRODON GROUP NV (40%), INTRAKAT SA (40%) and ENVITEC S.A. (20%))</t>
  </si>
  <si>
    <t>Regional Solid Waste Management Body of Central Macedonia</t>
  </si>
  <si>
    <t xml:space="preserve">27 years  (25 years and 2 months, 22 months construction) </t>
  </si>
  <si>
    <t>Annual Availability Payments In Operational Period  -2025</t>
  </si>
  <si>
    <t>Annual Availability Payments In Operational Period  -2026</t>
  </si>
  <si>
    <t>Annual Availability Payments In Operational Period  -2027</t>
  </si>
  <si>
    <t>Annual Availability Payments In Operational Period  -2028</t>
  </si>
  <si>
    <t>Annual Availability Payments In Operational Period  -2029</t>
  </si>
  <si>
    <t>Annual Availability Payments In Operational Period  -2030</t>
  </si>
  <si>
    <t>Annual Availability Payments In Operational Period  -2031</t>
  </si>
  <si>
    <t>Annual Availability Payments In Operational Period  -2032</t>
  </si>
  <si>
    <t>Annual Availability Payments In Operational Period  -2033</t>
  </si>
  <si>
    <t>Annual Availability Payments In Operational Period  -2034</t>
  </si>
  <si>
    <t>Annual Availability Payments In Operational Period  -2035</t>
  </si>
  <si>
    <t>ΣΧΟΛΕΙΑ 1Β</t>
  </si>
  <si>
    <t>Στο μοντέλο του αναδόχου έχει ως περίοδο αναφοράς των πληρωμών από Απρίλιο έως τον Απρίλιο του επόμενου έτους (π.χ. Απρίλιος 2016-Απρίλιος 2017)</t>
  </si>
  <si>
    <t>Ποσό ανά μήνα</t>
  </si>
  <si>
    <t>Μήνες του έτους αναφοράς</t>
  </si>
  <si>
    <t>Υπόλοιποι μήνες από προηγούμενο ποσό</t>
  </si>
  <si>
    <t>Τελικό Ποσό</t>
  </si>
  <si>
    <t>ΣΧΟΛΕΙΑ 1Α</t>
  </si>
  <si>
    <t>Στο μοντέλο του αναδόχου έχει ως περίοδο αναφοράς των πληρωμών από Μάιο έως τον Μάιο του επόμενου έτους (π.χ. Μάιος 2016-Μάιος 2017)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</si>
</sst>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.0"/>
    <numFmt numFmtId="165" formatCode="0.00000"/>
    <numFmt numFmtId="166" formatCode="#,##0.0"/>
    <numFmt numFmtId="167" formatCode="#,##0.0;\(#,##0.0\);&quot;-&quot;"/>
    <numFmt numFmtId="168" formatCode="#,##0_);[Red]\(#,##0\);\-_)"/>
    <numFmt numFmtId="169" formatCode="#,##0_-;[Red]\(#,##0\)_-;&quot;-&quot;_-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name val="Calibri"/>
      <family val="2"/>
    </font>
    <font>
      <b/>
      <sz val="14"/>
      <name val="Calibri"/>
      <family val="2"/>
      <charset val="161"/>
    </font>
    <font>
      <sz val="11"/>
      <name val="Calibri"/>
      <family val="2"/>
      <charset val="161"/>
    </font>
    <font>
      <sz val="9"/>
      <name val="Calibri"/>
      <family val="2"/>
      <charset val="161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8" fontId="13" fillId="0" borderId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9" fontId="0" fillId="0" borderId="0" xfId="2" applyNumberFormat="1" applyFont="1"/>
    <xf numFmtId="9" fontId="0" fillId="0" borderId="0" xfId="0" applyNumberFormat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17" fontId="0" fillId="0" borderId="3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/>
    <xf numFmtId="0" fontId="0" fillId="0" borderId="16" xfId="0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3" borderId="6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24" xfId="0" applyFill="1" applyBorder="1"/>
    <xf numFmtId="164" fontId="0" fillId="0" borderId="27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26" xfId="0" applyFill="1" applyBorder="1"/>
    <xf numFmtId="165" fontId="0" fillId="0" borderId="1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9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5">
    <cellStyle name="Euro" xfId="1"/>
    <cellStyle name="EYNormal" xfId="4"/>
    <cellStyle name="Normal 3 5" xfId="3"/>
    <cellStyle name="Κανονικό" xfId="0" builtinId="0"/>
    <cellStyle name="Ποσοστ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Annual Availability Payments</a:t>
            </a:r>
          </a:p>
        </c:rich>
      </c:tx>
    </c:title>
    <c:plotArea>
      <c:layout>
        <c:manualLayout>
          <c:layoutTarget val="inner"/>
          <c:xMode val="edge"/>
          <c:yMode val="edge"/>
          <c:x val="8.44721321599506E-2"/>
          <c:y val="0.19480351414406533"/>
          <c:w val="0.69743075497915696"/>
          <c:h val="0.65482210557013765"/>
        </c:manualLayout>
      </c:layout>
      <c:barChart>
        <c:barDir val="col"/>
        <c:grouping val="clustered"/>
        <c:ser>
          <c:idx val="0"/>
          <c:order val="0"/>
          <c:tx>
            <c:strRef>
              <c:f>'PPP Contracts'!$T$28</c:f>
              <c:strCache>
                <c:ptCount val="1"/>
                <c:pt idx="0">
                  <c:v>Annual Availability Payments Under Contract</c:v>
                </c:pt>
              </c:strCache>
            </c:strRef>
          </c:tx>
          <c:cat>
            <c:numRef>
              <c:f>'PPP Contracts'!$U$27:$AH$27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'PPP Contracts'!$U$28:$AH$28</c:f>
              <c:numCache>
                <c:formatCode>0.00</c:formatCode>
                <c:ptCount val="14"/>
                <c:pt idx="0">
                  <c:v>1.95212275</c:v>
                </c:pt>
                <c:pt idx="1">
                  <c:v>2.7979808399999997</c:v>
                </c:pt>
                <c:pt idx="2">
                  <c:v>2.8123993199999999</c:v>
                </c:pt>
                <c:pt idx="3">
                  <c:v>2.7698179199999999</c:v>
                </c:pt>
                <c:pt idx="4">
                  <c:v>2.731204</c:v>
                </c:pt>
                <c:pt idx="5">
                  <c:v>15.993583639213671</c:v>
                </c:pt>
                <c:pt idx="6" formatCode="0.0">
                  <c:v>42.718360558848076</c:v>
                </c:pt>
                <c:pt idx="7" formatCode="0.0">
                  <c:v>47.711653049334018</c:v>
                </c:pt>
                <c:pt idx="8" formatCode="0.0">
                  <c:v>50.539894013203551</c:v>
                </c:pt>
                <c:pt idx="9" formatCode="0.0">
                  <c:v>51.813073707141285</c:v>
                </c:pt>
                <c:pt idx="10" formatCode="0.0">
                  <c:v>51.911033296773297</c:v>
                </c:pt>
                <c:pt idx="11" formatCode="0.0">
                  <c:v>51.168771338701099</c:v>
                </c:pt>
                <c:pt idx="12" formatCode="0.0">
                  <c:v>51.603039853130674</c:v>
                </c:pt>
                <c:pt idx="13" formatCode="0.0">
                  <c:v>52.117537753148852</c:v>
                </c:pt>
              </c:numCache>
            </c:numRef>
          </c:val>
        </c:ser>
        <c:axId val="73276032"/>
        <c:axId val="83378560"/>
      </c:barChart>
      <c:catAx>
        <c:axId val="73276032"/>
        <c:scaling>
          <c:orientation val="minMax"/>
        </c:scaling>
        <c:axPos val="b"/>
        <c:numFmt formatCode="General" sourceLinked="1"/>
        <c:tickLblPos val="nextTo"/>
        <c:crossAx val="83378560"/>
        <c:crosses val="autoZero"/>
        <c:auto val="1"/>
        <c:lblAlgn val="ctr"/>
        <c:lblOffset val="100"/>
      </c:catAx>
      <c:valAx>
        <c:axId val="83378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</a:t>
                </a:r>
                <a:r>
                  <a:rPr lang="el-GR"/>
                  <a:t>€</a:t>
                </a:r>
              </a:p>
            </c:rich>
          </c:tx>
        </c:title>
        <c:numFmt formatCode="#,##0.00;[Red]#,##0.00" sourceLinked="0"/>
        <c:tickLblPos val="nextTo"/>
        <c:spPr>
          <a:noFill/>
        </c:spPr>
        <c:crossAx val="7327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1157943492351"/>
          <c:y val="0.40002114319043452"/>
          <c:w val="0.19605094951366372"/>
          <c:h val="0.23687882764654417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Design, build, financing, maintenance and facilities management of 7 fire station buildings</a:t>
            </a:r>
            <a:endParaRPr lang="el-GR" sz="1800" b="1" i="0" baseline="0"/>
          </a:p>
        </c:rich>
      </c:tx>
    </c:title>
    <c:plotArea>
      <c:layout>
        <c:manualLayout>
          <c:layoutTarget val="inner"/>
          <c:xMode val="edge"/>
          <c:yMode val="edge"/>
          <c:x val="0.11494460452717382"/>
          <c:y val="0.19457830776933241"/>
          <c:w val="0.58610811414530628"/>
          <c:h val="0.65522115515907486"/>
        </c:manualLayout>
      </c:layout>
      <c:barChart>
        <c:barDir val="col"/>
        <c:grouping val="clustered"/>
        <c:ser>
          <c:idx val="0"/>
          <c:order val="0"/>
          <c:tx>
            <c:v>Non-Availability Deductions</c:v>
          </c:tx>
          <c:cat>
            <c:strRef>
              <c:f>'[1]ΑΠΟΜΕΙΩΣΕΙΣ ΛΕΙΤΟΥΡΓΙΑΣ'!$AX$81:$AY$81</c:f>
              <c:strCache>
                <c:ptCount val="2"/>
                <c:pt idx="0">
                  <c:v>2011-2016</c:v>
                </c:pt>
              </c:strCache>
            </c:strRef>
          </c:cat>
          <c:val>
            <c:numRef>
              <c:f>'[1]ΑΠΟΜΕΙΩΣΕΙΣ ΛΕΙΤΟΥΡΓΙΑΣ'!$AW$81</c:f>
              <c:numCache>
                <c:formatCode>General</c:formatCode>
                <c:ptCount val="1"/>
                <c:pt idx="0">
                  <c:v>5122030.0221741041</c:v>
                </c:pt>
              </c:numCache>
            </c:numRef>
          </c:val>
        </c:ser>
        <c:ser>
          <c:idx val="1"/>
          <c:order val="1"/>
          <c:tx>
            <c:v>Penalty</c:v>
          </c:tx>
          <c:cat>
            <c:strRef>
              <c:f>'[1]ΑΠΟΜΕΙΩΣΕΙΣ ΛΕΙΤΟΥΡΓΙΑΣ'!$AX$81:$AY$81</c:f>
              <c:strCache>
                <c:ptCount val="2"/>
                <c:pt idx="0">
                  <c:v>2011-2016</c:v>
                </c:pt>
              </c:strCache>
            </c:strRef>
          </c:cat>
          <c:val>
            <c:numRef>
              <c:f>'[1]ΑΠΟΜΕΙΩΣΕΙΣ ΛΕΙΤΟΥΡΓΙΑΣ'!$AW$82</c:f>
              <c:numCache>
                <c:formatCode>General</c:formatCode>
                <c:ptCount val="1"/>
                <c:pt idx="0">
                  <c:v>1000000</c:v>
                </c:pt>
              </c:numCache>
            </c:numRef>
          </c:val>
        </c:ser>
        <c:ser>
          <c:idx val="2"/>
          <c:order val="2"/>
          <c:tx>
            <c:v>Performance Deductions</c:v>
          </c:tx>
          <c:cat>
            <c:strRef>
              <c:f>'[1]ΑΠΟΜΕΙΩΣΕΙΣ ΛΕΙΤΟΥΡΓΙΑΣ'!$AX$81:$AY$81</c:f>
              <c:strCache>
                <c:ptCount val="2"/>
                <c:pt idx="0">
                  <c:v>2011-2016</c:v>
                </c:pt>
              </c:strCache>
            </c:strRef>
          </c:cat>
          <c:val>
            <c:numRef>
              <c:f>'[1]ΑΠΟΜΕΙΩΣΕΙΣ ΛΕΙΤΟΥΡΓΙΑΣ'!$T$92</c:f>
              <c:numCache>
                <c:formatCode>General</c:formatCode>
                <c:ptCount val="1"/>
                <c:pt idx="0">
                  <c:v>698904.58</c:v>
                </c:pt>
              </c:numCache>
            </c:numRef>
          </c:val>
        </c:ser>
        <c:ser>
          <c:idx val="3"/>
          <c:order val="3"/>
          <c:tx>
            <c:v>Total</c:v>
          </c:tx>
          <c:cat>
            <c:strRef>
              <c:f>'[1]ΑΠΟΜΕΙΩΣΕΙΣ ΛΕΙΤΟΥΡΓΙΑΣ'!$AX$81:$AY$81</c:f>
              <c:strCache>
                <c:ptCount val="2"/>
                <c:pt idx="0">
                  <c:v>2011-2016</c:v>
                </c:pt>
              </c:strCache>
            </c:strRef>
          </c:cat>
          <c:val>
            <c:numRef>
              <c:f>'[1]ΑΠΟΜΕΙΩΣΕΙΣ ΛΕΙΤΟΥΡΓΙΑΣ'!$BH$83</c:f>
              <c:numCache>
                <c:formatCode>General</c:formatCode>
                <c:ptCount val="1"/>
                <c:pt idx="0">
                  <c:v>6820934.6021741051</c:v>
                </c:pt>
              </c:numCache>
            </c:numRef>
          </c:val>
        </c:ser>
        <c:axId val="83405824"/>
        <c:axId val="84411136"/>
      </c:barChart>
      <c:catAx>
        <c:axId val="83405824"/>
        <c:scaling>
          <c:orientation val="minMax"/>
        </c:scaling>
        <c:axPos val="b"/>
        <c:majorTickMark val="none"/>
        <c:tickLblPos val="nextTo"/>
        <c:crossAx val="84411136"/>
        <c:crosses val="autoZero"/>
        <c:auto val="1"/>
        <c:lblAlgn val="ctr"/>
        <c:lblOffset val="100"/>
      </c:catAx>
      <c:valAx>
        <c:axId val="844111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3405824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Million</a:t>
                  </a:r>
                  <a:r>
                    <a:rPr lang="el-GR"/>
                    <a:t> €</a:t>
                  </a:r>
                  <a:r>
                    <a:rPr lang="en-US" baseline="0"/>
                    <a:t> </a:t>
                  </a:r>
                  <a:endParaRPr lang="el-GR"/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75203328307365835"/>
          <c:y val="0.12790445077344073"/>
          <c:w val="0.17859920701401691"/>
          <c:h val="0.41662272385923466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12</xdr:col>
      <xdr:colOff>581024</xdr:colOff>
      <xdr:row>16</xdr:row>
      <xdr:rowOff>76200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581024</xdr:colOff>
      <xdr:row>18</xdr:row>
      <xdr:rowOff>142874</xdr:rowOff>
    </xdr:from>
    <xdr:to>
      <xdr:col>15</xdr:col>
      <xdr:colOff>495299</xdr:colOff>
      <xdr:row>38</xdr:row>
      <xdr:rowOff>19049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0.83953</cdr:x>
      <cdr:y>0.72805</cdr:y>
    </cdr:from>
    <cdr:to>
      <cdr:x>0.99569</cdr:x>
      <cdr:y>0.9745</cdr:y>
    </cdr:to>
    <cdr:sp macro="" textlink="">
      <cdr:nvSpPr>
        <cdr:cNvPr id="2" name="1 - TextBox"/>
        <cdr:cNvSpPr txBox="1"/>
      </cdr:nvSpPr>
      <cdr:spPr>
        <a:xfrm xmlns:a="http://schemas.openxmlformats.org/drawingml/2006/main">
          <a:off x="6810375" y="2447925"/>
          <a:ext cx="1266825" cy="82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0.70319</cdr:x>
      <cdr:y>0.53457</cdr:y>
    </cdr:from>
    <cdr:to>
      <cdr:x>0.99369</cdr:x>
      <cdr:y>0.98191</cdr:y>
    </cdr:to>
    <cdr:sp macro="" textlink="">
      <cdr:nvSpPr>
        <cdr:cNvPr id="3" name="2 - TextBox"/>
        <cdr:cNvSpPr txBox="1"/>
      </cdr:nvSpPr>
      <cdr:spPr>
        <a:xfrm xmlns:a="http://schemas.openxmlformats.org/drawingml/2006/main">
          <a:off x="6369703" y="1970534"/>
          <a:ext cx="2631424" cy="164896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Under</a:t>
          </a:r>
          <a:r>
            <a:rPr lang="en-US" sz="1100" baseline="0"/>
            <a:t> Contract Payments :      </a:t>
          </a:r>
          <a:r>
            <a:rPr lang="el-GR" sz="1100" baseline="0"/>
            <a:t>  </a:t>
          </a:r>
          <a:r>
            <a:rPr lang="en-US" sz="1100" baseline="0"/>
            <a:t>               15.8 Million </a:t>
          </a:r>
          <a:r>
            <a:rPr lang="el-GR" sz="1100" baseline="0"/>
            <a:t>€</a:t>
          </a:r>
          <a:r>
            <a:rPr lang="en-US" sz="1100" baseline="0"/>
            <a:t>                                                  Actual Payments: </a:t>
          </a:r>
          <a:r>
            <a:rPr lang="el-GR" sz="1100" baseline="0"/>
            <a:t>                                          </a:t>
          </a:r>
          <a:r>
            <a:rPr lang="en-US" sz="1100" baseline="0"/>
            <a:t>8.7 Million </a:t>
          </a:r>
          <a:r>
            <a:rPr lang="el-GR" sz="1100" baseline="0"/>
            <a:t>€ </a:t>
          </a:r>
          <a:r>
            <a:rPr lang="en-US" sz="1100" baseline="0"/>
            <a:t>           </a:t>
          </a:r>
          <a:endParaRPr lang="el-GR" sz="1100" baseline="0"/>
        </a:p>
        <a:p xmlns:a="http://schemas.openxmlformats.org/drawingml/2006/main">
          <a:pPr algn="ctr"/>
          <a:r>
            <a:rPr lang="el-GR" sz="1100" b="1" baseline="0">
              <a:latin typeface="+mn-lt"/>
              <a:ea typeface="+mn-ea"/>
              <a:cs typeface="+mn-cs"/>
            </a:rPr>
            <a:t/>
          </a:r>
          <a:br>
            <a:rPr lang="el-GR" sz="1100" b="1" baseline="0">
              <a:latin typeface="+mn-lt"/>
              <a:ea typeface="+mn-ea"/>
              <a:cs typeface="+mn-cs"/>
            </a:rPr>
          </a:br>
          <a:r>
            <a:rPr lang="en-US" sz="1100" b="1" u="sng">
              <a:latin typeface="+mn-lt"/>
              <a:ea typeface="+mn-ea"/>
              <a:cs typeface="+mn-cs"/>
            </a:rPr>
            <a:t>Benefit to the public sector:</a:t>
          </a:r>
          <a:r>
            <a:rPr lang="el-GR" sz="1100" b="1">
              <a:latin typeface="+mn-lt"/>
              <a:ea typeface="+mn-ea"/>
              <a:cs typeface="+mn-cs"/>
            </a:rPr>
            <a:t> </a:t>
          </a:r>
          <a:r>
            <a:rPr lang="en-US" sz="1100" b="1">
              <a:latin typeface="+mn-lt"/>
              <a:ea typeface="+mn-ea"/>
              <a:cs typeface="+mn-cs"/>
            </a:rPr>
            <a:t>                     </a:t>
          </a:r>
          <a:r>
            <a:rPr lang="el-GR" sz="1100" b="1">
              <a:latin typeface="+mn-lt"/>
              <a:ea typeface="+mn-ea"/>
              <a:cs typeface="+mn-cs"/>
            </a:rPr>
            <a:t>7.1</a:t>
          </a:r>
          <a:r>
            <a:rPr lang="el-GR" sz="1100" b="1" baseline="0">
              <a:latin typeface="+mn-lt"/>
              <a:ea typeface="+mn-ea"/>
              <a:cs typeface="+mn-cs"/>
            </a:rPr>
            <a:t> </a:t>
          </a:r>
          <a:r>
            <a:rPr lang="en-US" sz="1100" b="1">
              <a:latin typeface="+mn-lt"/>
              <a:ea typeface="+mn-ea"/>
              <a:cs typeface="+mn-cs"/>
            </a:rPr>
            <a:t>million </a:t>
          </a:r>
          <a:r>
            <a:rPr lang="el-GR" sz="1100" b="1">
              <a:latin typeface="+mn-lt"/>
              <a:ea typeface="+mn-ea"/>
              <a:cs typeface="+mn-cs"/>
            </a:rPr>
            <a:t>€ </a:t>
          </a:r>
          <a:r>
            <a:rPr lang="en-US" sz="1100" b="1">
              <a:latin typeface="+mn-lt"/>
              <a:ea typeface="+mn-ea"/>
              <a:cs typeface="+mn-cs"/>
            </a:rPr>
            <a:t>or</a:t>
          </a:r>
          <a:r>
            <a:rPr lang="en-US" sz="1100" b="1" baseline="0">
              <a:latin typeface="+mn-lt"/>
              <a:ea typeface="+mn-ea"/>
              <a:cs typeface="+mn-cs"/>
            </a:rPr>
            <a:t> 45% of Under Contract Payments</a:t>
          </a:r>
          <a:r>
            <a:rPr lang="en-US" sz="1100" b="1">
              <a:latin typeface="+mn-lt"/>
              <a:ea typeface="+mn-ea"/>
              <a:cs typeface="+mn-cs"/>
            </a:rPr>
            <a:t> in a project of 26 million  </a:t>
          </a:r>
          <a:r>
            <a:rPr lang="el-GR" sz="1100" b="1">
              <a:latin typeface="+mn-lt"/>
              <a:ea typeface="+mn-ea"/>
              <a:cs typeface="+mn-cs"/>
            </a:rPr>
            <a:t>€ </a:t>
          </a:r>
          <a:r>
            <a:rPr lang="en-US" sz="1100" b="1">
              <a:latin typeface="+mn-lt"/>
              <a:ea typeface="+mn-ea"/>
              <a:cs typeface="+mn-cs"/>
            </a:rPr>
            <a:t>– high quality results.</a:t>
          </a:r>
          <a:r>
            <a:rPr lang="en-US" sz="1100" b="1" baseline="0"/>
            <a:t>                  </a:t>
          </a:r>
          <a:endParaRPr lang="en-US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it-server\sdit%20files\02-&#931;&#916;&#921;&#932;-%20Projects\01.%207%20&#928;&#933;&#929;&#927;&#931;&#914;&#917;&#931;&#932;&#921;&#922;&#927;&#921;%20&#931;&#932;&#913;&#920;&#924;&#927;&#921;\ex%20post%20analysis\&#928;&#933;&#929;&#927;&#931;&#914;&#917;&#931;&#932;&#921;&#922;&#927;&#921;%20ANALYS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ΠΟΜΕΙΩΣΕΙΣ ΛΕΙΤΟΥΡΓΙΑΣ"/>
      <sheetName val="ΔΕΙΚΤΕΣ"/>
      <sheetName val="GRAPHS"/>
    </sheetNames>
    <sheetDataSet>
      <sheetData sheetId="0">
        <row r="81">
          <cell r="AW81">
            <v>5122030.0221741041</v>
          </cell>
          <cell r="AX81" t="str">
            <v>2011-2016</v>
          </cell>
        </row>
        <row r="82">
          <cell r="AW82">
            <v>1000000</v>
          </cell>
        </row>
        <row r="83">
          <cell r="BH83">
            <v>6820934.6021741051</v>
          </cell>
        </row>
        <row r="92">
          <cell r="T92">
            <v>698904.58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38"/>
  <sheetViews>
    <sheetView tabSelected="1" topLeftCell="A16" zoomScale="70" zoomScaleNormal="70" workbookViewId="0">
      <selection activeCell="AB25" sqref="AB25"/>
    </sheetView>
  </sheetViews>
  <sheetFormatPr defaultRowHeight="15"/>
  <cols>
    <col min="1" max="1" width="2.7109375" customWidth="1"/>
    <col min="2" max="2" width="20" customWidth="1"/>
    <col min="3" max="3" width="13.42578125" customWidth="1"/>
    <col min="4" max="4" width="10.5703125" customWidth="1"/>
    <col min="5" max="5" width="12.140625" customWidth="1"/>
    <col min="6" max="6" width="10.28515625" customWidth="1"/>
    <col min="7" max="7" width="15.28515625" customWidth="1"/>
    <col min="8" max="8" width="14.140625" customWidth="1"/>
    <col min="9" max="12" width="12.42578125" customWidth="1"/>
    <col min="13" max="13" width="15.42578125" customWidth="1"/>
    <col min="14" max="14" width="14.5703125" customWidth="1"/>
    <col min="15" max="15" width="10.5703125" customWidth="1"/>
    <col min="16" max="16" width="14.42578125" customWidth="1"/>
    <col min="17" max="17" width="12.85546875" customWidth="1"/>
    <col min="18" max="18" width="13.85546875" customWidth="1"/>
    <col min="19" max="19" width="14" customWidth="1"/>
    <col min="20" max="20" width="13" customWidth="1"/>
    <col min="21" max="21" width="14" customWidth="1"/>
    <col min="22" max="22" width="14.42578125" customWidth="1"/>
    <col min="23" max="24" width="14" customWidth="1"/>
    <col min="25" max="25" width="14.140625" customWidth="1"/>
    <col min="26" max="26" width="14" customWidth="1"/>
    <col min="27" max="27" width="20" customWidth="1"/>
    <col min="28" max="28" width="12" customWidth="1"/>
    <col min="29" max="29" width="14.28515625" customWidth="1"/>
    <col min="30" max="30" width="14.42578125" customWidth="1"/>
    <col min="31" max="32" width="14.140625" customWidth="1"/>
    <col min="33" max="34" width="13.85546875" customWidth="1"/>
    <col min="35" max="35" width="14.42578125" customWidth="1"/>
    <col min="36" max="36" width="14" customWidth="1"/>
    <col min="37" max="47" width="14.85546875" customWidth="1"/>
  </cols>
  <sheetData>
    <row r="1" spans="2:47" s="2" customFormat="1" ht="90">
      <c r="B1" s="28" t="s">
        <v>0</v>
      </c>
      <c r="C1" s="28" t="s">
        <v>1</v>
      </c>
      <c r="D1" s="28" t="s">
        <v>2</v>
      </c>
      <c r="E1" s="28" t="s">
        <v>3</v>
      </c>
      <c r="F1" s="28" t="s">
        <v>21</v>
      </c>
      <c r="G1" s="28" t="s">
        <v>15</v>
      </c>
      <c r="H1" s="29" t="s">
        <v>34</v>
      </c>
      <c r="I1" s="28" t="s">
        <v>42</v>
      </c>
      <c r="J1" s="28" t="s">
        <v>26</v>
      </c>
      <c r="K1" s="28" t="s">
        <v>27</v>
      </c>
      <c r="L1" s="28" t="s">
        <v>28</v>
      </c>
      <c r="M1" s="28" t="s">
        <v>29</v>
      </c>
      <c r="N1" s="28" t="s">
        <v>17</v>
      </c>
      <c r="O1" s="28" t="s">
        <v>4</v>
      </c>
      <c r="P1" s="28" t="s">
        <v>5</v>
      </c>
      <c r="Q1" s="28" t="s">
        <v>6</v>
      </c>
      <c r="R1" s="28" t="s">
        <v>22</v>
      </c>
      <c r="S1" s="28" t="s">
        <v>91</v>
      </c>
      <c r="T1" s="28"/>
      <c r="U1" s="28" t="s">
        <v>44</v>
      </c>
      <c r="V1" s="28" t="s">
        <v>45</v>
      </c>
      <c r="W1" s="28" t="s">
        <v>46</v>
      </c>
      <c r="X1" s="30" t="s">
        <v>47</v>
      </c>
      <c r="Y1" s="28" t="s">
        <v>48</v>
      </c>
      <c r="Z1" s="28" t="s">
        <v>49</v>
      </c>
      <c r="AA1" s="28"/>
      <c r="AB1" s="31"/>
      <c r="AC1" s="28" t="s">
        <v>50</v>
      </c>
      <c r="AD1" s="28" t="s">
        <v>51</v>
      </c>
      <c r="AE1" s="28" t="s">
        <v>52</v>
      </c>
      <c r="AF1" s="28" t="s">
        <v>53</v>
      </c>
      <c r="AG1" s="28" t="s">
        <v>54</v>
      </c>
      <c r="AH1" s="28" t="s">
        <v>55</v>
      </c>
      <c r="AI1" s="28" t="s">
        <v>56</v>
      </c>
      <c r="AJ1" s="28" t="s">
        <v>57</v>
      </c>
      <c r="AK1" s="28" t="s">
        <v>112</v>
      </c>
      <c r="AL1" s="28" t="s">
        <v>113</v>
      </c>
      <c r="AM1" s="28" t="s">
        <v>114</v>
      </c>
      <c r="AN1" s="28" t="s">
        <v>115</v>
      </c>
      <c r="AO1" s="28" t="s">
        <v>116</v>
      </c>
      <c r="AP1" s="28" t="s">
        <v>117</v>
      </c>
      <c r="AQ1" s="28" t="s">
        <v>118</v>
      </c>
      <c r="AR1" s="28" t="s">
        <v>119</v>
      </c>
      <c r="AS1" s="28" t="s">
        <v>120</v>
      </c>
      <c r="AT1" s="28" t="s">
        <v>121</v>
      </c>
      <c r="AU1" s="28" t="s">
        <v>122</v>
      </c>
    </row>
    <row r="2" spans="2:47" ht="90">
      <c r="B2" s="6" t="s">
        <v>58</v>
      </c>
      <c r="C2" s="7" t="s">
        <v>25</v>
      </c>
      <c r="D2" s="8">
        <v>39904</v>
      </c>
      <c r="E2" s="8">
        <v>40634</v>
      </c>
      <c r="F2" s="8" t="s">
        <v>38</v>
      </c>
      <c r="G2" s="7" t="s">
        <v>16</v>
      </c>
      <c r="H2" s="7" t="s">
        <v>39</v>
      </c>
      <c r="I2" s="7">
        <f t="shared" ref="I2:I14" si="0">SUM(J2:M2)</f>
        <v>25.900000000000002</v>
      </c>
      <c r="J2" s="7">
        <v>18.8</v>
      </c>
      <c r="K2" s="7">
        <v>3.3</v>
      </c>
      <c r="L2" s="7">
        <v>3.8</v>
      </c>
      <c r="M2" s="7" t="s">
        <v>9</v>
      </c>
      <c r="N2" s="7" t="s">
        <v>9</v>
      </c>
      <c r="O2" s="7" t="s">
        <v>14</v>
      </c>
      <c r="P2" s="7" t="s">
        <v>64</v>
      </c>
      <c r="Q2" s="7" t="s">
        <v>10</v>
      </c>
      <c r="R2" s="7" t="s">
        <v>24</v>
      </c>
      <c r="S2" s="7">
        <v>2.6</v>
      </c>
      <c r="T2" s="7" t="s">
        <v>61</v>
      </c>
      <c r="U2" s="9">
        <f>1952122.75/1000000</f>
        <v>1.95212275</v>
      </c>
      <c r="V2" s="10">
        <f>2797980.84/1000000</f>
        <v>2.7979808399999997</v>
      </c>
      <c r="W2" s="10">
        <f>2812399.32/1000000</f>
        <v>2.8123993199999999</v>
      </c>
      <c r="X2" s="10">
        <f>2769817.92/1000000</f>
        <v>2.7698179199999999</v>
      </c>
      <c r="Y2" s="10">
        <f>2731204/1000000</f>
        <v>2.731204</v>
      </c>
      <c r="Z2" s="10">
        <f>2741115.84/1000000</f>
        <v>2.74111584</v>
      </c>
      <c r="AA2" s="7"/>
      <c r="AB2" s="11"/>
      <c r="AC2" s="19">
        <v>3.03861535445927</v>
      </c>
      <c r="AD2" s="19">
        <v>3.0901931650930501</v>
      </c>
      <c r="AE2" s="19">
        <v>3.1433183100458399</v>
      </c>
      <c r="AF2" s="19">
        <v>3.1980372093472198</v>
      </c>
      <c r="AG2" s="19">
        <v>3.2543976756276298</v>
      </c>
      <c r="AH2" s="19">
        <v>3.31244895589646</v>
      </c>
      <c r="AI2" s="19">
        <v>3.3722417745733599</v>
      </c>
      <c r="AJ2" s="19">
        <v>3.4338283778105598</v>
      </c>
      <c r="AK2" s="19">
        <v>3.4972625791448801</v>
      </c>
      <c r="AL2" s="19">
        <v>3.5625998065192199</v>
      </c>
      <c r="AM2" s="19">
        <v>3.6298971507147999</v>
      </c>
      <c r="AN2" s="19">
        <v>3.6992134152362399</v>
      </c>
      <c r="AO2" s="19">
        <v>3.7706091676933302</v>
      </c>
      <c r="AP2" s="19">
        <v>3.8441467927241302</v>
      </c>
      <c r="AQ2" s="19">
        <v>3.91989054650585</v>
      </c>
      <c r="AR2" s="19">
        <v>3.9979066129010299</v>
      </c>
      <c r="AS2" s="19">
        <v>4.07826316128806</v>
      </c>
      <c r="AT2" s="19">
        <v>1.0139328301544901</v>
      </c>
      <c r="AU2" s="22" t="s">
        <v>9</v>
      </c>
    </row>
    <row r="3" spans="2:47" ht="33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62</v>
      </c>
      <c r="U3" s="9">
        <f>11000/1000000</f>
        <v>1.0999999999999999E-2</v>
      </c>
      <c r="V3" s="10">
        <f>159423.04/1000000</f>
        <v>0.15942304000000002</v>
      </c>
      <c r="W3" s="10">
        <f>1735492.35/1000000</f>
        <v>1.7354923500000001</v>
      </c>
      <c r="X3" s="10">
        <f>2217095.92/1000000</f>
        <v>2.2170959199999998</v>
      </c>
      <c r="Y3" s="10">
        <f>1898843/1000000</f>
        <v>1.8988430000000001</v>
      </c>
      <c r="Z3" s="10">
        <f>2632851.11/1000000</f>
        <v>2.6328511099999998</v>
      </c>
      <c r="AA3" s="7" t="s">
        <v>19</v>
      </c>
      <c r="AB3" s="10">
        <f>SUM(U3:Z3)</f>
        <v>8.6547054199999991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2:47" ht="78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1"/>
      <c r="T4" s="7" t="s">
        <v>63</v>
      </c>
      <c r="U4" s="9">
        <f t="shared" ref="U4:Z4" si="1">U2-U3</f>
        <v>1.9411227500000001</v>
      </c>
      <c r="V4" s="10">
        <f t="shared" si="1"/>
        <v>2.6385577999999996</v>
      </c>
      <c r="W4" s="10">
        <f t="shared" si="1"/>
        <v>1.0769069699999998</v>
      </c>
      <c r="X4" s="10">
        <f t="shared" si="1"/>
        <v>0.55272200000000016</v>
      </c>
      <c r="Y4" s="10">
        <f t="shared" si="1"/>
        <v>0.83236099999999991</v>
      </c>
      <c r="Z4" s="10">
        <f t="shared" si="1"/>
        <v>0.10826473000000014</v>
      </c>
      <c r="AA4" s="7" t="s">
        <v>20</v>
      </c>
      <c r="AB4" s="10">
        <f>SUM(U4:Z4)</f>
        <v>7.1499352499999995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2:47" ht="90">
      <c r="B5" s="6" t="s">
        <v>59</v>
      </c>
      <c r="C5" s="7" t="s">
        <v>8</v>
      </c>
      <c r="D5" s="8">
        <v>41730</v>
      </c>
      <c r="E5" s="8">
        <v>42461</v>
      </c>
      <c r="F5" s="8" t="s">
        <v>105</v>
      </c>
      <c r="G5" s="7" t="s">
        <v>16</v>
      </c>
      <c r="H5" s="7" t="s">
        <v>39</v>
      </c>
      <c r="I5" s="10">
        <f t="shared" si="0"/>
        <v>58</v>
      </c>
      <c r="J5" s="7">
        <v>38.200000000000003</v>
      </c>
      <c r="K5" s="7">
        <v>10.1</v>
      </c>
      <c r="L5" s="7">
        <v>9.6999999999999993</v>
      </c>
      <c r="M5" s="7" t="s">
        <v>9</v>
      </c>
      <c r="N5" s="7" t="s">
        <v>9</v>
      </c>
      <c r="O5" s="7" t="s">
        <v>30</v>
      </c>
      <c r="P5" s="7" t="s">
        <v>31</v>
      </c>
      <c r="Q5" s="7" t="s">
        <v>11</v>
      </c>
      <c r="R5" s="7" t="s">
        <v>24</v>
      </c>
      <c r="S5" s="7">
        <v>6.8</v>
      </c>
      <c r="T5" s="13" t="s">
        <v>61</v>
      </c>
      <c r="U5" s="14" t="s">
        <v>9</v>
      </c>
      <c r="V5" s="15" t="s">
        <v>9</v>
      </c>
      <c r="W5" s="15" t="s">
        <v>9</v>
      </c>
      <c r="X5" s="15" t="s">
        <v>9</v>
      </c>
      <c r="Y5" s="13" t="s">
        <v>9</v>
      </c>
      <c r="Z5" s="14">
        <f>5096289.06917157/1000000</f>
        <v>5.0962890691715703</v>
      </c>
      <c r="AA5" s="14"/>
      <c r="AB5" s="14"/>
      <c r="AC5" s="19">
        <v>7.2794947847248901</v>
      </c>
      <c r="AD5" s="19">
        <v>7.3416824768771001</v>
      </c>
      <c r="AE5" s="19">
        <v>7.4051139228723502</v>
      </c>
      <c r="AF5" s="19">
        <v>7.4698139977875098</v>
      </c>
      <c r="AG5" s="19">
        <v>7.5358080742009701</v>
      </c>
      <c r="AH5" s="19">
        <v>7.6031220321427</v>
      </c>
      <c r="AI5" s="19">
        <v>7.6717822692432698</v>
      </c>
      <c r="AJ5" s="19">
        <v>7.7418157110858399</v>
      </c>
      <c r="AK5" s="19">
        <v>7.8132498217652699</v>
      </c>
      <c r="AL5" s="19">
        <v>7.8861126146582903</v>
      </c>
      <c r="AM5" s="19">
        <v>7.9604326634091702</v>
      </c>
      <c r="AN5" s="19">
        <v>8.0362391131350606</v>
      </c>
      <c r="AO5" s="19">
        <v>8.1135616918554696</v>
      </c>
      <c r="AP5" s="19">
        <v>8.1924307221502897</v>
      </c>
      <c r="AQ5" s="19">
        <v>8.2728771330510096</v>
      </c>
      <c r="AR5" s="19">
        <v>8.3549324721697396</v>
      </c>
      <c r="AS5" s="19">
        <v>8.4386289180708491</v>
      </c>
      <c r="AT5" s="19">
        <v>8.5239992928899806</v>
      </c>
      <c r="AU5" s="19">
        <v>8.6110770752054808</v>
      </c>
    </row>
    <row r="6" spans="2:47" ht="30">
      <c r="B6" s="6"/>
      <c r="C6" s="7"/>
      <c r="D6" s="8"/>
      <c r="E6" s="8"/>
      <c r="F6" s="7"/>
      <c r="G6" s="7"/>
      <c r="H6" s="7"/>
      <c r="I6" s="10"/>
      <c r="J6" s="7"/>
      <c r="K6" s="7"/>
      <c r="L6" s="7"/>
      <c r="M6" s="7"/>
      <c r="N6" s="7"/>
      <c r="O6" s="7"/>
      <c r="P6" s="7"/>
      <c r="Q6" s="7"/>
      <c r="R6" s="7"/>
      <c r="S6" s="7"/>
      <c r="T6" s="13" t="s">
        <v>62</v>
      </c>
      <c r="U6" s="13" t="s">
        <v>9</v>
      </c>
      <c r="V6" s="15" t="s">
        <v>9</v>
      </c>
      <c r="W6" s="15" t="s">
        <v>9</v>
      </c>
      <c r="X6" s="15" t="s">
        <v>9</v>
      </c>
      <c r="Y6" s="7" t="s">
        <v>9</v>
      </c>
      <c r="Z6" s="14">
        <f>Z5-Z7</f>
        <v>1.4592550691715704</v>
      </c>
      <c r="AA6" s="13" t="s">
        <v>19</v>
      </c>
      <c r="AB6" s="14">
        <f>SUM(U6:Z6)</f>
        <v>1.4592550691715704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2:47" ht="75">
      <c r="B7" s="6"/>
      <c r="C7" s="7"/>
      <c r="D7" s="8"/>
      <c r="E7" s="8"/>
      <c r="F7" s="7"/>
      <c r="G7" s="7"/>
      <c r="H7" s="7"/>
      <c r="I7" s="10"/>
      <c r="J7" s="7"/>
      <c r="K7" s="7"/>
      <c r="L7" s="7"/>
      <c r="M7" s="7"/>
      <c r="N7" s="7"/>
      <c r="O7" s="7"/>
      <c r="P7" s="7"/>
      <c r="Q7" s="7"/>
      <c r="R7" s="7"/>
      <c r="S7" s="7"/>
      <c r="T7" s="13" t="s">
        <v>102</v>
      </c>
      <c r="U7" s="13"/>
      <c r="V7" s="15"/>
      <c r="W7" s="15"/>
      <c r="X7" s="15"/>
      <c r="Y7" s="7"/>
      <c r="Z7" s="14">
        <f>3637034/1000000</f>
        <v>3.6370339999999999</v>
      </c>
      <c r="AA7" s="13" t="s">
        <v>20</v>
      </c>
      <c r="AB7" s="14">
        <f>SUM(U7:Z7)</f>
        <v>3.6370339999999999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2:47" ht="105">
      <c r="B8" s="6" t="s">
        <v>60</v>
      </c>
      <c r="C8" s="7" t="s">
        <v>8</v>
      </c>
      <c r="D8" s="8">
        <v>41760</v>
      </c>
      <c r="E8" s="8">
        <v>42491</v>
      </c>
      <c r="F8" s="8" t="s">
        <v>106</v>
      </c>
      <c r="G8" s="7" t="s">
        <v>16</v>
      </c>
      <c r="H8" s="7" t="s">
        <v>39</v>
      </c>
      <c r="I8" s="7">
        <f t="shared" si="0"/>
        <v>52</v>
      </c>
      <c r="J8" s="7">
        <v>33.4</v>
      </c>
      <c r="K8" s="7">
        <v>9.9</v>
      </c>
      <c r="L8" s="7">
        <v>8.6999999999999993</v>
      </c>
      <c r="M8" s="7" t="s">
        <v>9</v>
      </c>
      <c r="N8" s="7" t="s">
        <v>9</v>
      </c>
      <c r="O8" s="7" t="s">
        <v>30</v>
      </c>
      <c r="P8" s="7" t="s">
        <v>32</v>
      </c>
      <c r="Q8" s="7" t="s">
        <v>11</v>
      </c>
      <c r="R8" s="7" t="s">
        <v>24</v>
      </c>
      <c r="S8" s="7">
        <v>5.9</v>
      </c>
      <c r="T8" s="7" t="s">
        <v>61</v>
      </c>
      <c r="U8" s="7" t="s">
        <v>9</v>
      </c>
      <c r="V8" s="7" t="s">
        <v>9</v>
      </c>
      <c r="W8" s="7" t="s">
        <v>9</v>
      </c>
      <c r="X8" s="7" t="s">
        <v>9</v>
      </c>
      <c r="Y8" s="7" t="s">
        <v>9</v>
      </c>
      <c r="Z8" s="9">
        <f>3911116.6900421/1000000</f>
        <v>3.9111166900420997</v>
      </c>
      <c r="AA8" s="7"/>
      <c r="AB8" s="11"/>
      <c r="AC8" s="19">
        <v>6.2717824512087699</v>
      </c>
      <c r="AD8" s="19">
        <v>6.2953038940163699</v>
      </c>
      <c r="AE8" s="19">
        <v>6.3251761263820203</v>
      </c>
      <c r="AF8" s="19">
        <v>6.34916799804577</v>
      </c>
      <c r="AG8" s="19">
        <v>6.3796376750587296</v>
      </c>
      <c r="AH8" s="19">
        <v>6.4041093841557597</v>
      </c>
      <c r="AI8" s="19">
        <v>6.4351884547089799</v>
      </c>
      <c r="AJ8" s="19">
        <v>6.4601495979879502</v>
      </c>
      <c r="AK8" s="19">
        <v>6.4918502499522299</v>
      </c>
      <c r="AL8" s="19">
        <v>6.51731061609678</v>
      </c>
      <c r="AM8" s="19">
        <v>6.54964528110035</v>
      </c>
      <c r="AN8" s="19">
        <v>6.5756148545677799</v>
      </c>
      <c r="AO8" s="19">
        <v>6.6085962128714302</v>
      </c>
      <c r="AP8" s="19">
        <v>6.6350851778082101</v>
      </c>
      <c r="AQ8" s="19">
        <v>6.6687261632779302</v>
      </c>
      <c r="AR8" s="19">
        <v>6.6957449075134496</v>
      </c>
      <c r="AS8" s="19">
        <v>6.7300587126925597</v>
      </c>
      <c r="AT8" s="19">
        <v>6.75761783181279</v>
      </c>
      <c r="AU8" s="19">
        <v>6.79261791309548</v>
      </c>
    </row>
    <row r="9" spans="2:47" ht="30">
      <c r="B9" s="16"/>
      <c r="C9" s="17"/>
      <c r="D9" s="18"/>
      <c r="E9" s="18"/>
      <c r="F9" s="17"/>
      <c r="G9" s="17"/>
      <c r="H9" s="17"/>
      <c r="I9" s="7"/>
      <c r="J9" s="17"/>
      <c r="K9" s="17"/>
      <c r="L9" s="17"/>
      <c r="M9" s="17"/>
      <c r="N9" s="17"/>
      <c r="O9" s="17"/>
      <c r="P9" s="17"/>
      <c r="Q9" s="17"/>
      <c r="R9" s="17"/>
      <c r="S9" s="17"/>
      <c r="T9" s="7" t="s">
        <v>62</v>
      </c>
      <c r="U9" s="17" t="s">
        <v>9</v>
      </c>
      <c r="V9" s="17" t="s">
        <v>9</v>
      </c>
      <c r="W9" s="17" t="s">
        <v>9</v>
      </c>
      <c r="X9" s="17" t="s">
        <v>9</v>
      </c>
      <c r="Y9" s="17" t="s">
        <v>9</v>
      </c>
      <c r="Z9" s="9">
        <v>0</v>
      </c>
      <c r="AA9" s="7" t="s">
        <v>19</v>
      </c>
      <c r="AB9" s="10">
        <f>SUM(U9:Z9)</f>
        <v>0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2:47" ht="75">
      <c r="B10" s="16"/>
      <c r="C10" s="17"/>
      <c r="D10" s="18"/>
      <c r="E10" s="18"/>
      <c r="F10" s="17"/>
      <c r="G10" s="17"/>
      <c r="H10" s="17"/>
      <c r="I10" s="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7" t="s">
        <v>63</v>
      </c>
      <c r="U10" s="17" t="s">
        <v>9</v>
      </c>
      <c r="V10" s="17" t="s">
        <v>9</v>
      </c>
      <c r="W10" s="17" t="s">
        <v>9</v>
      </c>
      <c r="X10" s="17" t="s">
        <v>9</v>
      </c>
      <c r="Y10" s="17" t="s">
        <v>9</v>
      </c>
      <c r="Z10" s="9">
        <f t="shared" ref="Z10" si="2">Z8-Z9</f>
        <v>3.9111166900420997</v>
      </c>
      <c r="AA10" s="7" t="s">
        <v>20</v>
      </c>
      <c r="AB10" s="10">
        <f>SUM(U10:Z10)</f>
        <v>3.9111166900420997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2:47" ht="135">
      <c r="B11" s="16" t="s">
        <v>7</v>
      </c>
      <c r="C11" s="17" t="s">
        <v>12</v>
      </c>
      <c r="D11" s="18">
        <v>41820</v>
      </c>
      <c r="E11" s="18">
        <v>42370</v>
      </c>
      <c r="F11" s="18">
        <v>42430</v>
      </c>
      <c r="G11" s="7" t="s">
        <v>16</v>
      </c>
      <c r="H11" s="17" t="s">
        <v>39</v>
      </c>
      <c r="I11" s="10">
        <f t="shared" si="0"/>
        <v>19.400000000000002</v>
      </c>
      <c r="J11" s="17">
        <v>6.7</v>
      </c>
      <c r="K11" s="17">
        <v>5.9</v>
      </c>
      <c r="L11" s="17">
        <v>1.5</v>
      </c>
      <c r="M11" s="17">
        <v>5.3</v>
      </c>
      <c r="N11" s="17" t="s">
        <v>18</v>
      </c>
      <c r="O11" s="17" t="s">
        <v>37</v>
      </c>
      <c r="P11" s="17" t="s">
        <v>33</v>
      </c>
      <c r="Q11" s="17" t="s">
        <v>13</v>
      </c>
      <c r="R11" s="17" t="s">
        <v>23</v>
      </c>
      <c r="S11" s="17">
        <v>4.3</v>
      </c>
      <c r="T11" s="48" t="s">
        <v>61</v>
      </c>
      <c r="U11" s="17" t="s">
        <v>9</v>
      </c>
      <c r="V11" s="17" t="s">
        <v>9</v>
      </c>
      <c r="W11" s="17" t="s">
        <v>9</v>
      </c>
      <c r="X11" s="17" t="s">
        <v>9</v>
      </c>
      <c r="Y11" s="17" t="s">
        <v>9</v>
      </c>
      <c r="Z11" s="20">
        <f>4245062.04/1000000</f>
        <v>4.2450620399999996</v>
      </c>
      <c r="AA11" s="20" t="s">
        <v>9</v>
      </c>
      <c r="AB11" s="13" t="s">
        <v>9</v>
      </c>
      <c r="AC11" s="19">
        <f>4500893.26025088/1000000</f>
        <v>4.50089326025088</v>
      </c>
      <c r="AD11" s="19">
        <f>4539059.1254559/1000000</f>
        <v>4.5390591254558998</v>
      </c>
      <c r="AE11" s="19">
        <f>4577988.30796502/1000000</f>
        <v>4.5779883079650201</v>
      </c>
      <c r="AF11" s="19">
        <f>4617696.07412432/1000000</f>
        <v>4.6176960741243205</v>
      </c>
      <c r="AG11" s="19">
        <f>4658197.9956068/1000000</f>
        <v>4.6581979956068</v>
      </c>
      <c r="AH11" s="19">
        <f>4699509.95551894/1000000</f>
        <v>4.6995099555189404</v>
      </c>
      <c r="AI11" s="19">
        <f>4741648.15462932/1000000</f>
        <v>4.7416481546293197</v>
      </c>
      <c r="AJ11" s="19">
        <f>4784629.1177219/1000000</f>
        <v>4.7846291177219005</v>
      </c>
      <c r="AK11" s="19">
        <v>4.8284697000763401</v>
      </c>
      <c r="AL11" s="19">
        <v>2.4365935470389299</v>
      </c>
      <c r="AM11" s="22" t="s">
        <v>9</v>
      </c>
      <c r="AN11" s="22" t="s">
        <v>9</v>
      </c>
      <c r="AO11" s="22" t="s">
        <v>9</v>
      </c>
      <c r="AP11" s="22" t="s">
        <v>9</v>
      </c>
      <c r="AQ11" s="22" t="s">
        <v>9</v>
      </c>
      <c r="AR11" s="22" t="s">
        <v>9</v>
      </c>
      <c r="AS11" s="22" t="s">
        <v>9</v>
      </c>
      <c r="AT11" s="22" t="s">
        <v>9</v>
      </c>
      <c r="AU11" s="22" t="s">
        <v>9</v>
      </c>
    </row>
    <row r="12" spans="2:47" ht="30">
      <c r="B12" s="16"/>
      <c r="C12" s="17"/>
      <c r="D12" s="18"/>
      <c r="E12" s="18"/>
      <c r="F12" s="17"/>
      <c r="G12" s="17"/>
      <c r="H12" s="17"/>
      <c r="I12" s="10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 t="s">
        <v>62</v>
      </c>
      <c r="U12" s="17" t="s">
        <v>9</v>
      </c>
      <c r="V12" s="17" t="s">
        <v>9</v>
      </c>
      <c r="W12" s="17" t="s">
        <v>9</v>
      </c>
      <c r="X12" s="17" t="s">
        <v>9</v>
      </c>
      <c r="Y12" s="17" t="s">
        <v>9</v>
      </c>
      <c r="Z12" s="21">
        <f>3264291.89/1000000</f>
        <v>3.26429189</v>
      </c>
      <c r="AA12" s="9" t="s">
        <v>19</v>
      </c>
      <c r="AB12" s="9">
        <f>SUM(U12:Z12)</f>
        <v>3.26429189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2:47" ht="75">
      <c r="B13" s="16"/>
      <c r="C13" s="17"/>
      <c r="D13" s="18"/>
      <c r="E13" s="18"/>
      <c r="F13" s="17"/>
      <c r="G13" s="17"/>
      <c r="H13" s="17"/>
      <c r="I13" s="1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 t="s">
        <v>102</v>
      </c>
      <c r="U13" s="17" t="s">
        <v>9</v>
      </c>
      <c r="V13" s="17" t="s">
        <v>9</v>
      </c>
      <c r="W13" s="17" t="s">
        <v>9</v>
      </c>
      <c r="X13" s="17" t="s">
        <v>9</v>
      </c>
      <c r="Y13" s="17" t="s">
        <v>9</v>
      </c>
      <c r="Z13" s="21">
        <f t="shared" ref="Z13" si="3">Z11-Z12</f>
        <v>0.98077014999999967</v>
      </c>
      <c r="AA13" s="7" t="s">
        <v>20</v>
      </c>
      <c r="AB13" s="14">
        <f>SUM(U13:Z13)</f>
        <v>0.98077014999999967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ht="93.75" customHeight="1">
      <c r="B14" s="6" t="s">
        <v>79</v>
      </c>
      <c r="C14" s="7" t="s">
        <v>80</v>
      </c>
      <c r="D14" s="8">
        <v>42002</v>
      </c>
      <c r="E14" s="8">
        <v>42733</v>
      </c>
      <c r="F14" s="7" t="s">
        <v>9</v>
      </c>
      <c r="G14" s="7" t="s">
        <v>36</v>
      </c>
      <c r="H14" s="7" t="s">
        <v>39</v>
      </c>
      <c r="I14" s="7">
        <f t="shared" si="0"/>
        <v>69.8</v>
      </c>
      <c r="J14" s="7">
        <v>28</v>
      </c>
      <c r="K14" s="7">
        <v>7</v>
      </c>
      <c r="L14" s="7">
        <v>6</v>
      </c>
      <c r="M14" s="7">
        <v>28.8</v>
      </c>
      <c r="N14" s="7" t="s">
        <v>18</v>
      </c>
      <c r="O14" s="7" t="s">
        <v>82</v>
      </c>
      <c r="P14" s="7" t="s">
        <v>81</v>
      </c>
      <c r="Q14" s="7" t="s">
        <v>13</v>
      </c>
      <c r="R14" s="7" t="s">
        <v>23</v>
      </c>
      <c r="S14" s="7">
        <v>13.2</v>
      </c>
      <c r="T14" s="7" t="s">
        <v>9</v>
      </c>
      <c r="U14" s="7" t="s">
        <v>9</v>
      </c>
      <c r="V14" s="7" t="s">
        <v>9</v>
      </c>
      <c r="W14" s="7" t="s">
        <v>9</v>
      </c>
      <c r="X14" s="7" t="s">
        <v>9</v>
      </c>
      <c r="Y14" s="7" t="s">
        <v>9</v>
      </c>
      <c r="Z14" s="7" t="s">
        <v>9</v>
      </c>
      <c r="AA14" s="7" t="s">
        <v>9</v>
      </c>
      <c r="AB14" s="11" t="s">
        <v>9</v>
      </c>
      <c r="AC14" s="10">
        <f>13520999.1078616/1000000</f>
        <v>13.5209991078616</v>
      </c>
      <c r="AD14" s="10">
        <f>13633044.6146791/1000000</f>
        <v>13.6330446146791</v>
      </c>
      <c r="AE14" s="10">
        <f>13747331.031633/1000000</f>
        <v>13.747331031633001</v>
      </c>
      <c r="AF14" s="10">
        <f>13863903.176926/1000000</f>
        <v>13.863903176926</v>
      </c>
      <c r="AG14" s="10">
        <f>13982806.7651248/1000000</f>
        <v>13.982806765124799</v>
      </c>
      <c r="AH14" s="10">
        <f>14104088.4250876/1000000</f>
        <v>14.1040884250876</v>
      </c>
      <c r="AI14" s="10">
        <f>14227795.7182496/1000000</f>
        <v>14.227795718249601</v>
      </c>
      <c r="AJ14" s="10">
        <f>14353977.1572749/1000000</f>
        <v>14.353977157274899</v>
      </c>
      <c r="AK14" s="10">
        <v>14.6139613942427</v>
      </c>
      <c r="AL14" s="10">
        <v>14.8</v>
      </c>
      <c r="AM14" s="22" t="s">
        <v>9</v>
      </c>
      <c r="AN14" s="22" t="s">
        <v>9</v>
      </c>
      <c r="AO14" s="22" t="s">
        <v>9</v>
      </c>
      <c r="AP14" s="22" t="s">
        <v>9</v>
      </c>
      <c r="AQ14" s="22" t="s">
        <v>9</v>
      </c>
      <c r="AR14" s="22" t="s">
        <v>9</v>
      </c>
      <c r="AS14" s="22" t="s">
        <v>9</v>
      </c>
      <c r="AT14" s="22" t="s">
        <v>9</v>
      </c>
      <c r="AU14" s="22" t="s">
        <v>9</v>
      </c>
    </row>
    <row r="15" spans="2:47" ht="74.25" customHeight="1">
      <c r="B15" s="16" t="s">
        <v>83</v>
      </c>
      <c r="C15" s="18" t="s">
        <v>86</v>
      </c>
      <c r="D15" s="18">
        <v>42002</v>
      </c>
      <c r="E15" s="18">
        <v>42733</v>
      </c>
      <c r="F15" s="7" t="s">
        <v>9</v>
      </c>
      <c r="G15" s="7" t="s">
        <v>36</v>
      </c>
      <c r="H15" s="7" t="s">
        <v>92</v>
      </c>
      <c r="I15" s="10">
        <f t="shared" ref="I15:I18" si="4">SUM(J15:M15)</f>
        <v>68.8</v>
      </c>
      <c r="J15" s="69">
        <v>24.4</v>
      </c>
      <c r="K15" s="70"/>
      <c r="L15" s="71"/>
      <c r="M15" s="7">
        <v>44.4</v>
      </c>
      <c r="N15" s="17" t="s">
        <v>18</v>
      </c>
      <c r="O15" s="17" t="s">
        <v>9</v>
      </c>
      <c r="P15" s="17" t="s">
        <v>87</v>
      </c>
      <c r="Q15" s="17" t="s">
        <v>9</v>
      </c>
      <c r="R15" s="7" t="s">
        <v>88</v>
      </c>
      <c r="S15" s="17" t="s">
        <v>9</v>
      </c>
      <c r="T15" s="17" t="s">
        <v>9</v>
      </c>
      <c r="U15" s="17" t="s">
        <v>9</v>
      </c>
      <c r="V15" s="17" t="s">
        <v>9</v>
      </c>
      <c r="W15" s="17" t="s">
        <v>9</v>
      </c>
      <c r="X15" s="17" t="s">
        <v>9</v>
      </c>
      <c r="Y15" s="12" t="s">
        <v>9</v>
      </c>
      <c r="Z15" s="22" t="s">
        <v>9</v>
      </c>
      <c r="AA15" s="17" t="s">
        <v>9</v>
      </c>
      <c r="AB15" s="17" t="s">
        <v>9</v>
      </c>
      <c r="AC15" s="12" t="s">
        <v>9</v>
      </c>
      <c r="AD15" s="12" t="s">
        <v>9</v>
      </c>
      <c r="AE15" s="12" t="s">
        <v>9</v>
      </c>
      <c r="AF15" s="12" t="s">
        <v>9</v>
      </c>
      <c r="AG15" s="12" t="s">
        <v>9</v>
      </c>
      <c r="AH15" s="12" t="s">
        <v>9</v>
      </c>
      <c r="AI15" s="12" t="s">
        <v>9</v>
      </c>
      <c r="AJ15" s="12" t="s">
        <v>9</v>
      </c>
      <c r="AK15" s="22" t="s">
        <v>9</v>
      </c>
      <c r="AL15" s="22" t="s">
        <v>9</v>
      </c>
      <c r="AM15" s="22" t="s">
        <v>9</v>
      </c>
      <c r="AN15" s="22" t="s">
        <v>9</v>
      </c>
      <c r="AO15" s="22" t="s">
        <v>9</v>
      </c>
      <c r="AP15" s="22" t="s">
        <v>9</v>
      </c>
      <c r="AQ15" s="22" t="s">
        <v>9</v>
      </c>
      <c r="AR15" s="22" t="s">
        <v>9</v>
      </c>
      <c r="AS15" s="22" t="s">
        <v>9</v>
      </c>
      <c r="AT15" s="22" t="s">
        <v>9</v>
      </c>
      <c r="AU15" s="22" t="s">
        <v>9</v>
      </c>
    </row>
    <row r="16" spans="2:47" ht="159" customHeight="1">
      <c r="B16" s="6" t="s">
        <v>84</v>
      </c>
      <c r="C16" s="7" t="s">
        <v>86</v>
      </c>
      <c r="D16" s="8">
        <v>42002</v>
      </c>
      <c r="E16" s="8">
        <v>42733</v>
      </c>
      <c r="F16" s="7" t="s">
        <v>9</v>
      </c>
      <c r="G16" s="7" t="s">
        <v>36</v>
      </c>
      <c r="H16" s="7" t="s">
        <v>92</v>
      </c>
      <c r="I16" s="7">
        <f t="shared" si="4"/>
        <v>100</v>
      </c>
      <c r="J16" s="72">
        <v>40.700000000000003</v>
      </c>
      <c r="K16" s="73"/>
      <c r="L16" s="74"/>
      <c r="M16" s="7">
        <v>59.3</v>
      </c>
      <c r="N16" s="7" t="s">
        <v>18</v>
      </c>
      <c r="O16" s="7" t="s">
        <v>13</v>
      </c>
      <c r="P16" s="7" t="s">
        <v>90</v>
      </c>
      <c r="Q16" s="7" t="s">
        <v>13</v>
      </c>
      <c r="R16" s="7" t="s">
        <v>88</v>
      </c>
      <c r="S16" s="7" t="s">
        <v>9</v>
      </c>
      <c r="T16" s="7" t="s">
        <v>9</v>
      </c>
      <c r="U16" s="7" t="s">
        <v>9</v>
      </c>
      <c r="V16" s="7" t="s">
        <v>9</v>
      </c>
      <c r="W16" s="7" t="s">
        <v>9</v>
      </c>
      <c r="X16" s="7" t="s">
        <v>9</v>
      </c>
      <c r="Y16" s="12" t="s">
        <v>9</v>
      </c>
      <c r="Z16" s="23" t="s">
        <v>9</v>
      </c>
      <c r="AA16" s="7" t="s">
        <v>9</v>
      </c>
      <c r="AB16" s="7" t="s">
        <v>9</v>
      </c>
      <c r="AC16" s="12" t="s">
        <v>9</v>
      </c>
      <c r="AD16" s="12" t="s">
        <v>9</v>
      </c>
      <c r="AE16" s="12" t="s">
        <v>9</v>
      </c>
      <c r="AF16" s="12" t="s">
        <v>9</v>
      </c>
      <c r="AG16" s="12" t="s">
        <v>9</v>
      </c>
      <c r="AH16" s="12" t="s">
        <v>9</v>
      </c>
      <c r="AI16" s="12" t="s">
        <v>9</v>
      </c>
      <c r="AJ16" s="12" t="s">
        <v>9</v>
      </c>
      <c r="AK16" s="22" t="s">
        <v>9</v>
      </c>
      <c r="AL16" s="22" t="s">
        <v>9</v>
      </c>
      <c r="AM16" s="22" t="s">
        <v>9</v>
      </c>
      <c r="AN16" s="22" t="s">
        <v>9</v>
      </c>
      <c r="AO16" s="22" t="s">
        <v>9</v>
      </c>
      <c r="AP16" s="22" t="s">
        <v>9</v>
      </c>
      <c r="AQ16" s="22" t="s">
        <v>9</v>
      </c>
      <c r="AR16" s="22" t="s">
        <v>9</v>
      </c>
      <c r="AS16" s="22" t="s">
        <v>9</v>
      </c>
      <c r="AT16" s="22" t="s">
        <v>9</v>
      </c>
      <c r="AU16" s="22" t="s">
        <v>9</v>
      </c>
    </row>
    <row r="17" spans="2:47" ht="74.25" customHeight="1">
      <c r="B17" s="6" t="s">
        <v>85</v>
      </c>
      <c r="C17" s="8" t="s">
        <v>86</v>
      </c>
      <c r="D17" s="8">
        <v>42002</v>
      </c>
      <c r="E17" s="8">
        <v>42733</v>
      </c>
      <c r="F17" s="7" t="s">
        <v>9</v>
      </c>
      <c r="G17" s="7" t="s">
        <v>36</v>
      </c>
      <c r="H17" s="7" t="s">
        <v>92</v>
      </c>
      <c r="I17" s="10">
        <f t="shared" si="4"/>
        <v>96</v>
      </c>
      <c r="J17" s="69">
        <v>39.6</v>
      </c>
      <c r="K17" s="70"/>
      <c r="L17" s="71"/>
      <c r="M17" s="17">
        <v>56.4</v>
      </c>
      <c r="N17" s="17" t="s">
        <v>18</v>
      </c>
      <c r="O17" s="17" t="s">
        <v>9</v>
      </c>
      <c r="P17" s="17" t="s">
        <v>89</v>
      </c>
      <c r="Q17" s="7" t="s">
        <v>9</v>
      </c>
      <c r="R17" s="7" t="s">
        <v>88</v>
      </c>
      <c r="S17" s="7" t="s">
        <v>9</v>
      </c>
      <c r="T17" s="17" t="s">
        <v>9</v>
      </c>
      <c r="U17" s="17" t="s">
        <v>9</v>
      </c>
      <c r="V17" s="17" t="s">
        <v>9</v>
      </c>
      <c r="W17" s="17" t="s">
        <v>9</v>
      </c>
      <c r="X17" s="17" t="s">
        <v>9</v>
      </c>
      <c r="Y17" s="22" t="s">
        <v>9</v>
      </c>
      <c r="Z17" s="22" t="s">
        <v>9</v>
      </c>
      <c r="AA17" s="17" t="s">
        <v>9</v>
      </c>
      <c r="AB17" s="17" t="s">
        <v>9</v>
      </c>
      <c r="AC17" s="22" t="s">
        <v>9</v>
      </c>
      <c r="AD17" s="22" t="s">
        <v>9</v>
      </c>
      <c r="AE17" s="22" t="s">
        <v>9</v>
      </c>
      <c r="AF17" s="22" t="s">
        <v>9</v>
      </c>
      <c r="AG17" s="22" t="s">
        <v>9</v>
      </c>
      <c r="AH17" s="22" t="s">
        <v>9</v>
      </c>
      <c r="AI17" s="22" t="s">
        <v>9</v>
      </c>
      <c r="AJ17" s="22" t="s">
        <v>9</v>
      </c>
      <c r="AK17" s="22" t="s">
        <v>9</v>
      </c>
      <c r="AL17" s="22" t="s">
        <v>9</v>
      </c>
      <c r="AM17" s="22" t="s">
        <v>9</v>
      </c>
      <c r="AN17" s="22" t="s">
        <v>9</v>
      </c>
      <c r="AO17" s="22" t="s">
        <v>9</v>
      </c>
      <c r="AP17" s="22" t="s">
        <v>9</v>
      </c>
      <c r="AQ17" s="22" t="s">
        <v>9</v>
      </c>
      <c r="AR17" s="22" t="s">
        <v>9</v>
      </c>
      <c r="AS17" s="22" t="s">
        <v>9</v>
      </c>
      <c r="AT17" s="22" t="s">
        <v>9</v>
      </c>
      <c r="AU17" s="22" t="s">
        <v>9</v>
      </c>
    </row>
    <row r="18" spans="2:47" ht="153" customHeight="1">
      <c r="B18" s="6" t="s">
        <v>93</v>
      </c>
      <c r="C18" s="7" t="s">
        <v>94</v>
      </c>
      <c r="D18" s="8">
        <v>42165</v>
      </c>
      <c r="E18" s="8">
        <v>42887</v>
      </c>
      <c r="F18" s="8" t="s">
        <v>9</v>
      </c>
      <c r="G18" s="7" t="s">
        <v>36</v>
      </c>
      <c r="H18" s="7" t="s">
        <v>39</v>
      </c>
      <c r="I18" s="10">
        <f t="shared" si="4"/>
        <v>49.038000000000004</v>
      </c>
      <c r="J18" s="10">
        <v>25.437000000000001</v>
      </c>
      <c r="K18" s="10">
        <v>18.021999999999998</v>
      </c>
      <c r="L18" s="10">
        <v>5.5789999999999997</v>
      </c>
      <c r="M18" s="7" t="s">
        <v>9</v>
      </c>
      <c r="N18" s="7" t="s">
        <v>9</v>
      </c>
      <c r="O18" s="7" t="s">
        <v>97</v>
      </c>
      <c r="P18" s="7" t="s">
        <v>95</v>
      </c>
      <c r="Q18" s="7" t="s">
        <v>13</v>
      </c>
      <c r="R18" s="7" t="s">
        <v>96</v>
      </c>
      <c r="S18" s="7">
        <v>10.8</v>
      </c>
      <c r="T18" s="7" t="s">
        <v>9</v>
      </c>
      <c r="U18" s="7" t="s">
        <v>9</v>
      </c>
      <c r="V18" s="7" t="s">
        <v>9</v>
      </c>
      <c r="W18" s="7" t="s">
        <v>9</v>
      </c>
      <c r="X18" s="7" t="s">
        <v>9</v>
      </c>
      <c r="Y18" s="7" t="s">
        <v>9</v>
      </c>
      <c r="Z18" s="7" t="s">
        <v>9</v>
      </c>
      <c r="AA18" s="7" t="s">
        <v>9</v>
      </c>
      <c r="AB18" s="7" t="s">
        <v>9</v>
      </c>
      <c r="AC18" s="24">
        <v>6.5979186003426697</v>
      </c>
      <c r="AD18" s="24">
        <v>11.297532773212501</v>
      </c>
      <c r="AE18" s="24">
        <v>11.2487113205878</v>
      </c>
      <c r="AF18" s="24">
        <v>11.180989231878099</v>
      </c>
      <c r="AG18" s="24">
        <v>11.2895010231596</v>
      </c>
      <c r="AH18" s="24">
        <v>11.3284550275632</v>
      </c>
      <c r="AI18" s="24">
        <v>11.380103043641199</v>
      </c>
      <c r="AJ18" s="24">
        <v>11.5104696158393</v>
      </c>
      <c r="AK18" s="24">
        <v>11.611210729372299</v>
      </c>
      <c r="AL18" s="24">
        <v>11.736955500389</v>
      </c>
      <c r="AM18" s="24">
        <v>11.9160066725984</v>
      </c>
      <c r="AN18" s="24">
        <v>12.096704192154601</v>
      </c>
      <c r="AO18" s="24">
        <v>12.280778681837401</v>
      </c>
      <c r="AP18" s="24">
        <v>12.488055343338299</v>
      </c>
      <c r="AQ18" s="24">
        <v>12.730838986537799</v>
      </c>
      <c r="AR18" s="24">
        <v>12.9790387348491</v>
      </c>
      <c r="AS18" s="24">
        <v>13.2332071275218</v>
      </c>
      <c r="AT18" s="24">
        <v>13.4930570069222</v>
      </c>
      <c r="AU18" s="24">
        <v>13.759013242291701</v>
      </c>
    </row>
    <row r="19" spans="2:47" ht="117" customHeight="1">
      <c r="B19" s="6" t="s">
        <v>98</v>
      </c>
      <c r="C19" s="7" t="s">
        <v>99</v>
      </c>
      <c r="D19" s="8">
        <v>42367</v>
      </c>
      <c r="E19" s="8">
        <v>42489</v>
      </c>
      <c r="F19" s="7" t="s">
        <v>9</v>
      </c>
      <c r="G19" s="7" t="s">
        <v>16</v>
      </c>
      <c r="H19" s="17" t="s">
        <v>39</v>
      </c>
      <c r="I19" s="19">
        <f t="shared" ref="I19:I20" si="5">SUM(J19:M19)</f>
        <v>6.6749999999999998</v>
      </c>
      <c r="J19" s="10">
        <v>0.32</v>
      </c>
      <c r="K19" s="10">
        <v>0.70599999999999996</v>
      </c>
      <c r="L19" s="7" t="s">
        <v>9</v>
      </c>
      <c r="M19" s="10">
        <v>5.649</v>
      </c>
      <c r="N19" s="7" t="s">
        <v>18</v>
      </c>
      <c r="O19" s="7" t="s">
        <v>9</v>
      </c>
      <c r="P19" s="7" t="s">
        <v>100</v>
      </c>
      <c r="Q19" s="7" t="s">
        <v>9</v>
      </c>
      <c r="R19" s="7" t="s">
        <v>101</v>
      </c>
      <c r="S19" s="10">
        <v>1.63</v>
      </c>
      <c r="T19" s="13" t="s">
        <v>9</v>
      </c>
      <c r="U19" s="13" t="s">
        <v>9</v>
      </c>
      <c r="V19" s="15" t="s">
        <v>9</v>
      </c>
      <c r="W19" s="15" t="s">
        <v>9</v>
      </c>
      <c r="X19" s="15" t="s">
        <v>9</v>
      </c>
      <c r="Y19" s="7" t="s">
        <v>9</v>
      </c>
      <c r="Z19" s="13" t="s">
        <v>9</v>
      </c>
      <c r="AA19" s="13" t="s">
        <v>9</v>
      </c>
      <c r="AB19" s="25" t="s">
        <v>9</v>
      </c>
      <c r="AC19" s="10">
        <f>1508657/1000000</f>
        <v>1.5086569999999999</v>
      </c>
      <c r="AD19" s="10">
        <f>1514837/1000000</f>
        <v>1.514837</v>
      </c>
      <c r="AE19" s="10">
        <f>1521140/1000000</f>
        <v>1.5211399999999999</v>
      </c>
      <c r="AF19" s="10">
        <f>1527569/1000000</f>
        <v>1.527569</v>
      </c>
      <c r="AG19" s="10">
        <f>1149767/1000000</f>
        <v>1.149767</v>
      </c>
      <c r="AH19" s="10" t="s">
        <v>9</v>
      </c>
      <c r="AI19" s="10" t="s">
        <v>9</v>
      </c>
      <c r="AJ19" s="10" t="s">
        <v>9</v>
      </c>
      <c r="AK19" s="10" t="s">
        <v>9</v>
      </c>
      <c r="AL19" s="10" t="s">
        <v>9</v>
      </c>
      <c r="AM19" s="10" t="s">
        <v>9</v>
      </c>
      <c r="AN19" s="10" t="s">
        <v>9</v>
      </c>
      <c r="AO19" s="10" t="s">
        <v>9</v>
      </c>
      <c r="AP19" s="10" t="s">
        <v>9</v>
      </c>
      <c r="AQ19" s="10" t="s">
        <v>9</v>
      </c>
      <c r="AR19" s="10" t="s">
        <v>9</v>
      </c>
      <c r="AS19" s="10" t="s">
        <v>9</v>
      </c>
      <c r="AT19" s="10" t="s">
        <v>9</v>
      </c>
      <c r="AU19" s="10" t="s">
        <v>9</v>
      </c>
    </row>
    <row r="20" spans="2:47" ht="138" customHeight="1">
      <c r="B20" s="6" t="s">
        <v>108</v>
      </c>
      <c r="C20" s="7" t="s">
        <v>111</v>
      </c>
      <c r="D20" s="8">
        <v>42899</v>
      </c>
      <c r="E20" s="8">
        <v>43568</v>
      </c>
      <c r="F20" s="7" t="s">
        <v>9</v>
      </c>
      <c r="G20" s="7" t="s">
        <v>36</v>
      </c>
      <c r="H20" s="7" t="s">
        <v>39</v>
      </c>
      <c r="I20" s="10">
        <f t="shared" si="5"/>
        <v>36.072000000000003</v>
      </c>
      <c r="J20" s="10">
        <v>9.1519999999999992</v>
      </c>
      <c r="K20" s="10">
        <v>6.47</v>
      </c>
      <c r="L20" s="10">
        <v>5.25</v>
      </c>
      <c r="M20" s="10">
        <v>15.2</v>
      </c>
      <c r="N20" s="7" t="s">
        <v>18</v>
      </c>
      <c r="O20" s="7" t="s">
        <v>13</v>
      </c>
      <c r="P20" s="7" t="s">
        <v>109</v>
      </c>
      <c r="Q20" s="7" t="s">
        <v>13</v>
      </c>
      <c r="R20" s="7" t="s">
        <v>110</v>
      </c>
      <c r="S20" s="10">
        <v>3.62</v>
      </c>
      <c r="T20" s="7" t="s">
        <v>9</v>
      </c>
      <c r="U20" s="7" t="s">
        <v>9</v>
      </c>
      <c r="V20" s="58" t="s">
        <v>9</v>
      </c>
      <c r="W20" s="58" t="s">
        <v>9</v>
      </c>
      <c r="X20" s="58" t="s">
        <v>9</v>
      </c>
      <c r="Y20" s="7" t="s">
        <v>9</v>
      </c>
      <c r="Z20" s="7" t="s">
        <v>9</v>
      </c>
      <c r="AA20" s="7" t="s">
        <v>9</v>
      </c>
      <c r="AB20" s="7" t="s">
        <v>9</v>
      </c>
      <c r="AC20" s="10" t="s">
        <v>9</v>
      </c>
      <c r="AD20" s="10" t="s">
        <v>9</v>
      </c>
      <c r="AE20" s="59">
        <f>2571114.99371751/1000000</f>
        <v>2.5711149937175097</v>
      </c>
      <c r="AF20" s="59">
        <f>3605897.01903236/1000000</f>
        <v>3.6058970190323603</v>
      </c>
      <c r="AG20" s="59">
        <f>3660917.08799477/1000000</f>
        <v>3.6609170879947701</v>
      </c>
      <c r="AH20" s="59">
        <f>3717037.55833644/1000000</f>
        <v>3.7170375583364401</v>
      </c>
      <c r="AI20" s="59">
        <f>3774280.43808494/1000000</f>
        <v>3.77428043808494</v>
      </c>
      <c r="AJ20" s="59">
        <f>3832668.1754284/1000000</f>
        <v>3.8326681754283998</v>
      </c>
      <c r="AK20" s="59">
        <f>3892223.66751874/1000000</f>
        <v>3.8922236675187403</v>
      </c>
      <c r="AL20" s="59">
        <f>3952970.26945088/1000000</f>
        <v>3.9529702694508799</v>
      </c>
      <c r="AM20" s="59">
        <f>4014931.80342167/1000000</f>
        <v>4.0149318034216703</v>
      </c>
      <c r="AN20" s="59">
        <f>4078132.56807187/1000000</f>
        <v>4.0781325680718705</v>
      </c>
      <c r="AO20" s="59">
        <f>4142597.34801508/1000000</f>
        <v>4.1425973480150802</v>
      </c>
      <c r="AP20" s="59">
        <f>4208351.42355715/1000000</f>
        <v>4.2083514235571498</v>
      </c>
      <c r="AQ20" s="59">
        <f>4275420.58061006/1000000</f>
        <v>4.27542058061006</v>
      </c>
      <c r="AR20" s="59">
        <f>4343831.12080403/1000000</f>
        <v>4.3438311208040306</v>
      </c>
      <c r="AS20" s="59">
        <f>4413609.87180188/1000000</f>
        <v>4.4136098718018806</v>
      </c>
      <c r="AT20" s="59">
        <f>4484784.19781968/1000000</f>
        <v>4.4847841978196801</v>
      </c>
      <c r="AU20" s="59">
        <f>4557382.01035784/1000000</f>
        <v>4.5573820103578404</v>
      </c>
    </row>
    <row r="21" spans="2:47" ht="22.5" customHeight="1" thickBot="1">
      <c r="B21" s="26"/>
      <c r="C21" s="26"/>
      <c r="D21" s="26"/>
      <c r="E21" s="26"/>
      <c r="F21" s="26"/>
      <c r="G21" s="26"/>
      <c r="H21" s="51" t="s">
        <v>43</v>
      </c>
      <c r="I21" s="52">
        <f>SUM(I5:I20,I2)</f>
        <v>581.68499999999995</v>
      </c>
      <c r="J21" s="53"/>
      <c r="K21" s="53"/>
      <c r="L21" s="54"/>
      <c r="M21" s="55">
        <f>SUM(M5:M20,M2)</f>
        <v>215.04900000000001</v>
      </c>
      <c r="N21" s="27"/>
      <c r="O21" s="27"/>
      <c r="P21" s="27"/>
      <c r="Q21" s="27"/>
      <c r="R21" s="27"/>
      <c r="S21" s="55">
        <f>SUM(S5:S20,S2)</f>
        <v>48.85</v>
      </c>
      <c r="T21" s="27"/>
      <c r="U21" s="27"/>
      <c r="V21" s="27"/>
      <c r="W21" s="27"/>
      <c r="X21" s="27"/>
      <c r="Y21" s="56"/>
      <c r="Z21" s="56"/>
      <c r="AA21" s="27"/>
      <c r="AB21" s="57"/>
      <c r="AC21" s="56">
        <f>SUM(AC5:AC20,AC2)</f>
        <v>42.718360558848076</v>
      </c>
      <c r="AD21" s="56">
        <f t="shared" ref="AD21:AJ21" si="6">SUM(AD5:AD20,AD2)</f>
        <v>47.711653049334018</v>
      </c>
      <c r="AE21" s="56">
        <f t="shared" si="6"/>
        <v>50.539894013203551</v>
      </c>
      <c r="AF21" s="56">
        <f t="shared" si="6"/>
        <v>51.813073707141285</v>
      </c>
      <c r="AG21" s="56">
        <f t="shared" si="6"/>
        <v>51.911033296773297</v>
      </c>
      <c r="AH21" s="56">
        <f t="shared" si="6"/>
        <v>51.168771338701099</v>
      </c>
      <c r="AI21" s="56">
        <f t="shared" si="6"/>
        <v>51.603039853130674</v>
      </c>
      <c r="AJ21" s="56">
        <f t="shared" si="6"/>
        <v>52.117537753148852</v>
      </c>
      <c r="AK21" s="56">
        <f t="shared" ref="AK21" si="7">SUM(AK5:AK20,AK2)</f>
        <v>52.748228142072463</v>
      </c>
      <c r="AL21" s="56">
        <f t="shared" ref="AL21" si="8">SUM(AL5:AL20,AL2)</f>
        <v>50.892542354153093</v>
      </c>
      <c r="AM21" s="56">
        <f t="shared" ref="AM21" si="9">SUM(AM5:AM20,AM2)</f>
        <v>34.07091357124439</v>
      </c>
      <c r="AN21" s="56">
        <f t="shared" ref="AN21" si="10">SUM(AN5:AN20,AN2)</f>
        <v>34.485904143165548</v>
      </c>
      <c r="AO21" s="56">
        <f t="shared" ref="AO21" si="11">SUM(AO5:AO20,AO2)</f>
        <v>34.916143102272713</v>
      </c>
      <c r="AP21" s="56">
        <f t="shared" ref="AP21" si="12">SUM(AP5:AP20,AP2)</f>
        <v>35.368069459578081</v>
      </c>
      <c r="AQ21" s="56">
        <f t="shared" ref="AQ21" si="13">SUM(AQ5:AQ20,AQ2)</f>
        <v>35.867753409982647</v>
      </c>
      <c r="AR21" s="56">
        <f t="shared" ref="AR21" si="14">SUM(AR5:AR20,AR2)</f>
        <v>36.371453848237351</v>
      </c>
      <c r="AS21" s="56">
        <f t="shared" ref="AS21" si="15">SUM(AS5:AS20,AS2)</f>
        <v>36.893767791375154</v>
      </c>
      <c r="AT21" s="56">
        <f t="shared" ref="AT21" si="16">SUM(AT5:AT20,AT2)</f>
        <v>34.273391159599136</v>
      </c>
      <c r="AU21" s="56">
        <f t="shared" ref="AU21" si="17">SUM(AU5:AU20,AU2)</f>
        <v>33.720090240950505</v>
      </c>
    </row>
    <row r="22" spans="2:47">
      <c r="B22" s="68" t="s">
        <v>35</v>
      </c>
      <c r="C22" s="68"/>
      <c r="D22" s="68"/>
      <c r="E22" s="68"/>
      <c r="I22" s="3"/>
      <c r="M22" s="3"/>
      <c r="AA22" s="75" t="s">
        <v>103</v>
      </c>
      <c r="AB22" s="76"/>
    </row>
    <row r="23" spans="2:47">
      <c r="B23" t="s">
        <v>40</v>
      </c>
      <c r="C23" t="s">
        <v>41</v>
      </c>
      <c r="I23" s="3"/>
      <c r="J23" s="4"/>
      <c r="K23" s="4"/>
      <c r="L23" s="4"/>
      <c r="M23" s="4"/>
      <c r="N23" s="5"/>
      <c r="AA23" s="7" t="s">
        <v>61</v>
      </c>
      <c r="AB23" s="47">
        <f>U2+V2+W2+X2+Y2+Z2+Z5+Z8+Z11</f>
        <v>29.057108469213674</v>
      </c>
    </row>
    <row r="24" spans="2:47">
      <c r="AA24" s="7" t="s">
        <v>62</v>
      </c>
      <c r="AB24" s="47">
        <f>AB3+AB6+AB9+AB12</f>
        <v>13.37825237917157</v>
      </c>
    </row>
    <row r="25" spans="2:47" ht="45">
      <c r="AA25" s="7" t="s">
        <v>104</v>
      </c>
      <c r="AB25" s="47">
        <f>AB4+AB7+AB10+AB13</f>
        <v>15.678856090042098</v>
      </c>
    </row>
    <row r="26" spans="2:47" ht="15.75" thickBot="1"/>
    <row r="27" spans="2:47" ht="19.5" thickBot="1">
      <c r="B27" s="41" t="s">
        <v>78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U27">
        <v>2011</v>
      </c>
      <c r="V27">
        <v>2012</v>
      </c>
      <c r="W27">
        <v>2013</v>
      </c>
      <c r="X27">
        <v>2014</v>
      </c>
      <c r="Y27">
        <v>2015</v>
      </c>
      <c r="Z27">
        <v>2016</v>
      </c>
      <c r="AA27">
        <v>2017</v>
      </c>
      <c r="AB27">
        <v>2018</v>
      </c>
      <c r="AC27">
        <v>2019</v>
      </c>
      <c r="AD27">
        <v>2020</v>
      </c>
      <c r="AE27">
        <v>2021</v>
      </c>
      <c r="AF27">
        <v>2022</v>
      </c>
      <c r="AG27">
        <v>2023</v>
      </c>
      <c r="AH27">
        <v>2024</v>
      </c>
    </row>
    <row r="28" spans="2:47" ht="96.75" customHeight="1" thickBot="1">
      <c r="B28" s="44" t="s">
        <v>0</v>
      </c>
      <c r="C28" s="45" t="s">
        <v>76</v>
      </c>
      <c r="D28" s="46" t="s">
        <v>66</v>
      </c>
      <c r="E28" s="46" t="s">
        <v>67</v>
      </c>
      <c r="F28" s="46" t="s">
        <v>68</v>
      </c>
      <c r="G28" s="46" t="s">
        <v>69</v>
      </c>
      <c r="H28" s="46" t="s">
        <v>70</v>
      </c>
      <c r="I28" s="46" t="s">
        <v>71</v>
      </c>
      <c r="J28" s="46" t="s">
        <v>72</v>
      </c>
      <c r="K28" s="46" t="s">
        <v>73</v>
      </c>
      <c r="L28" s="46" t="s">
        <v>74</v>
      </c>
      <c r="M28" s="46" t="s">
        <v>75</v>
      </c>
      <c r="T28" s="50" t="s">
        <v>107</v>
      </c>
      <c r="U28" s="49">
        <f>U2</f>
        <v>1.95212275</v>
      </c>
      <c r="V28" s="49">
        <f t="shared" ref="V28:Y28" si="18">V2</f>
        <v>2.7979808399999997</v>
      </c>
      <c r="W28" s="49">
        <f t="shared" si="18"/>
        <v>2.8123993199999999</v>
      </c>
      <c r="X28" s="49">
        <f t="shared" si="18"/>
        <v>2.7698179199999999</v>
      </c>
      <c r="Y28" s="49">
        <f t="shared" si="18"/>
        <v>2.731204</v>
      </c>
      <c r="Z28" s="49">
        <f>Z2+Z5+Z8+Z11</f>
        <v>15.993583639213671</v>
      </c>
      <c r="AA28" s="3">
        <f>AC21</f>
        <v>42.718360558848076</v>
      </c>
      <c r="AB28" s="3">
        <f t="shared" ref="AB28:AH28" si="19">AD21</f>
        <v>47.711653049334018</v>
      </c>
      <c r="AC28" s="3">
        <f t="shared" si="19"/>
        <v>50.539894013203551</v>
      </c>
      <c r="AD28" s="3">
        <f t="shared" si="19"/>
        <v>51.813073707141285</v>
      </c>
      <c r="AE28" s="3">
        <f t="shared" si="19"/>
        <v>51.911033296773297</v>
      </c>
      <c r="AF28" s="3">
        <f t="shared" si="19"/>
        <v>51.168771338701099</v>
      </c>
      <c r="AG28" s="3">
        <f t="shared" si="19"/>
        <v>51.603039853130674</v>
      </c>
      <c r="AH28" s="3">
        <f t="shared" si="19"/>
        <v>52.117537753148852</v>
      </c>
    </row>
    <row r="29" spans="2:47" ht="90.75" thickBot="1">
      <c r="B29" s="32" t="str">
        <f>B2</f>
        <v>Design, build, financing, maintenance and facilities management of 7 fire station buildings</v>
      </c>
      <c r="C29" s="33" t="s">
        <v>65</v>
      </c>
      <c r="D29" s="34" t="s">
        <v>77</v>
      </c>
      <c r="E29" s="34" t="s">
        <v>77</v>
      </c>
      <c r="F29" s="34" t="s">
        <v>77</v>
      </c>
      <c r="G29" s="34" t="s">
        <v>77</v>
      </c>
      <c r="H29" s="34" t="s">
        <v>77</v>
      </c>
      <c r="I29" s="34" t="s">
        <v>77</v>
      </c>
      <c r="J29" s="34" t="s">
        <v>77</v>
      </c>
      <c r="K29" s="34" t="s">
        <v>77</v>
      </c>
      <c r="L29" s="34" t="s">
        <v>77</v>
      </c>
      <c r="M29" s="35" t="s">
        <v>77</v>
      </c>
    </row>
    <row r="30" spans="2:47" ht="90.75" thickBot="1">
      <c r="B30" s="32" t="str">
        <f>B5</f>
        <v>Design, financing, construction and facility management of 14 school buildings in the region of Attica</v>
      </c>
      <c r="C30" s="36" t="s">
        <v>65</v>
      </c>
      <c r="D30" s="34" t="s">
        <v>77</v>
      </c>
      <c r="E30" s="34" t="s">
        <v>77</v>
      </c>
      <c r="F30" s="34" t="s">
        <v>77</v>
      </c>
      <c r="G30" s="34" t="s">
        <v>77</v>
      </c>
      <c r="H30" s="34" t="s">
        <v>77</v>
      </c>
      <c r="I30" s="34" t="s">
        <v>77</v>
      </c>
      <c r="J30" s="34" t="s">
        <v>77</v>
      </c>
      <c r="K30" s="34" t="s">
        <v>77</v>
      </c>
      <c r="L30" s="34" t="s">
        <v>77</v>
      </c>
      <c r="M30" s="35" t="s">
        <v>77</v>
      </c>
    </row>
    <row r="31" spans="2:47" ht="90.75" thickBot="1">
      <c r="B31" s="32" t="str">
        <f>B8</f>
        <v>Design, financing, construction and facility management of 10 school buildings in the region of Attica</v>
      </c>
      <c r="C31" s="36" t="s">
        <v>65</v>
      </c>
      <c r="D31" s="34" t="s">
        <v>77</v>
      </c>
      <c r="E31" s="34" t="s">
        <v>77</v>
      </c>
      <c r="F31" s="34" t="s">
        <v>77</v>
      </c>
      <c r="G31" s="34" t="s">
        <v>77</v>
      </c>
      <c r="H31" s="34" t="s">
        <v>77</v>
      </c>
      <c r="I31" s="34" t="s">
        <v>77</v>
      </c>
      <c r="J31" s="34" t="s">
        <v>77</v>
      </c>
      <c r="K31" s="34" t="s">
        <v>77</v>
      </c>
      <c r="L31" s="34" t="s">
        <v>77</v>
      </c>
      <c r="M31" s="35" t="s">
        <v>77</v>
      </c>
    </row>
    <row r="32" spans="2:47" ht="45.75" thickBot="1">
      <c r="B32" s="37" t="str">
        <f>B11</f>
        <v xml:space="preserve">Attica Urban Transportation-Telematics System  </v>
      </c>
      <c r="C32" s="38" t="s">
        <v>65</v>
      </c>
      <c r="D32" s="34" t="s">
        <v>77</v>
      </c>
      <c r="E32" s="34" t="s">
        <v>77</v>
      </c>
      <c r="F32" s="34" t="s">
        <v>77</v>
      </c>
      <c r="G32" s="34" t="s">
        <v>77</v>
      </c>
      <c r="H32" s="34" t="s">
        <v>77</v>
      </c>
      <c r="I32" s="34" t="s">
        <v>77</v>
      </c>
      <c r="J32" s="34" t="s">
        <v>77</v>
      </c>
      <c r="K32" s="34" t="s">
        <v>77</v>
      </c>
      <c r="L32" s="34" t="s">
        <v>77</v>
      </c>
      <c r="M32" s="35" t="s">
        <v>77</v>
      </c>
    </row>
    <row r="33" spans="2:40" ht="90.75" thickBot="1">
      <c r="B33" s="6" t="s">
        <v>79</v>
      </c>
      <c r="C33" s="33" t="s">
        <v>65</v>
      </c>
      <c r="D33" s="34" t="s">
        <v>65</v>
      </c>
      <c r="E33" s="34" t="s">
        <v>65</v>
      </c>
      <c r="F33" s="34" t="s">
        <v>65</v>
      </c>
      <c r="G33" s="34" t="s">
        <v>65</v>
      </c>
      <c r="H33" s="34" t="s">
        <v>65</v>
      </c>
      <c r="I33" s="34" t="s">
        <v>65</v>
      </c>
      <c r="J33" s="34" t="s">
        <v>65</v>
      </c>
      <c r="K33" s="34" t="s">
        <v>65</v>
      </c>
      <c r="L33" s="34" t="s">
        <v>65</v>
      </c>
      <c r="M33" s="35" t="s">
        <v>65</v>
      </c>
    </row>
    <row r="34" spans="2:40" ht="60.75" thickBot="1">
      <c r="B34" s="17" t="s">
        <v>83</v>
      </c>
      <c r="C34" s="33" t="s">
        <v>65</v>
      </c>
      <c r="D34" s="34" t="s">
        <v>65</v>
      </c>
      <c r="E34" s="34" t="s">
        <v>65</v>
      </c>
      <c r="F34" s="34" t="s">
        <v>65</v>
      </c>
      <c r="G34" s="34" t="s">
        <v>65</v>
      </c>
      <c r="H34" s="34" t="s">
        <v>65</v>
      </c>
      <c r="I34" s="34" t="s">
        <v>65</v>
      </c>
      <c r="J34" s="34" t="s">
        <v>65</v>
      </c>
      <c r="K34" s="34" t="s">
        <v>65</v>
      </c>
      <c r="L34" s="34" t="s">
        <v>65</v>
      </c>
      <c r="M34" s="35" t="s">
        <v>65</v>
      </c>
    </row>
    <row r="35" spans="2:40" ht="60.75" thickBot="1">
      <c r="B35" s="7" t="s">
        <v>84</v>
      </c>
      <c r="C35" s="36" t="s">
        <v>65</v>
      </c>
      <c r="D35" s="34" t="s">
        <v>65</v>
      </c>
      <c r="E35" s="34" t="s">
        <v>65</v>
      </c>
      <c r="F35" s="34" t="s">
        <v>65</v>
      </c>
      <c r="G35" s="34" t="s">
        <v>65</v>
      </c>
      <c r="H35" s="34" t="s">
        <v>65</v>
      </c>
      <c r="I35" s="34" t="s">
        <v>65</v>
      </c>
      <c r="J35" s="34" t="s">
        <v>65</v>
      </c>
      <c r="K35" s="34" t="s">
        <v>65</v>
      </c>
      <c r="L35" s="34" t="s">
        <v>65</v>
      </c>
      <c r="M35" s="35" t="s">
        <v>65</v>
      </c>
    </row>
    <row r="36" spans="2:40" ht="60.75" thickBot="1">
      <c r="B36" s="7" t="s">
        <v>85</v>
      </c>
      <c r="C36" s="36" t="s">
        <v>65</v>
      </c>
      <c r="D36" s="39" t="s">
        <v>65</v>
      </c>
      <c r="E36" s="39" t="s">
        <v>65</v>
      </c>
      <c r="F36" s="39" t="s">
        <v>65</v>
      </c>
      <c r="G36" s="39" t="s">
        <v>65</v>
      </c>
      <c r="H36" s="39" t="s">
        <v>65</v>
      </c>
      <c r="I36" s="39" t="s">
        <v>65</v>
      </c>
      <c r="J36" s="39" t="s">
        <v>65</v>
      </c>
      <c r="K36" s="39" t="s">
        <v>65</v>
      </c>
      <c r="L36" s="39" t="s">
        <v>65</v>
      </c>
      <c r="M36" s="40" t="s">
        <v>65</v>
      </c>
    </row>
    <row r="37" spans="2:40" ht="144" customHeight="1" thickBot="1">
      <c r="B37" s="6" t="s">
        <v>93</v>
      </c>
      <c r="C37" s="36" t="s">
        <v>65</v>
      </c>
      <c r="D37" s="39" t="s">
        <v>65</v>
      </c>
      <c r="E37" s="39" t="s">
        <v>65</v>
      </c>
      <c r="F37" s="39" t="s">
        <v>65</v>
      </c>
      <c r="G37" s="39" t="s">
        <v>65</v>
      </c>
      <c r="H37" s="39" t="s">
        <v>65</v>
      </c>
      <c r="I37" s="39" t="s">
        <v>65</v>
      </c>
      <c r="J37" s="39" t="s">
        <v>65</v>
      </c>
      <c r="K37" s="39" t="s">
        <v>65</v>
      </c>
      <c r="L37" s="39" t="s">
        <v>65</v>
      </c>
      <c r="M37" s="40" t="s">
        <v>65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:40" ht="110.25" customHeight="1" thickBot="1">
      <c r="B38" s="6" t="s">
        <v>98</v>
      </c>
      <c r="C38" s="36" t="s">
        <v>65</v>
      </c>
      <c r="D38" s="39" t="s">
        <v>65</v>
      </c>
      <c r="E38" s="39" t="s">
        <v>65</v>
      </c>
      <c r="F38" s="39" t="s">
        <v>65</v>
      </c>
      <c r="G38" s="39" t="s">
        <v>65</v>
      </c>
      <c r="H38" s="39" t="s">
        <v>65</v>
      </c>
      <c r="I38" s="39" t="s">
        <v>65</v>
      </c>
      <c r="J38" s="39" t="s">
        <v>65</v>
      </c>
      <c r="K38" s="39" t="s">
        <v>65</v>
      </c>
      <c r="L38" s="39" t="s">
        <v>65</v>
      </c>
      <c r="M38" s="40" t="s">
        <v>65</v>
      </c>
    </row>
  </sheetData>
  <mergeCells count="5">
    <mergeCell ref="B22:E22"/>
    <mergeCell ref="J15:L15"/>
    <mergeCell ref="J16:L16"/>
    <mergeCell ref="J17:L17"/>
    <mergeCell ref="AA22:AB22"/>
  </mergeCells>
  <phoneticPr fontId="3" type="noConversion"/>
  <pageMargins left="0.7" right="0.7" top="0.75" bottom="0.75" header="0.3" footer="0.3"/>
  <pageSetup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workbookViewId="0">
      <selection activeCell="H13" sqref="H13"/>
    </sheetView>
  </sheetViews>
  <sheetFormatPr defaultRowHeight="15"/>
  <cols>
    <col min="1" max="1" width="25.42578125" customWidth="1"/>
    <col min="2" max="7" width="10.7109375" customWidth="1"/>
    <col min="8" max="8" width="11.7109375" customWidth="1"/>
    <col min="9" max="26" width="10.7109375" customWidth="1"/>
  </cols>
  <sheetData>
    <row r="1" spans="1:26">
      <c r="A1" s="61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6">
      <c r="A2" s="62"/>
      <c r="B2" s="63">
        <v>2016</v>
      </c>
      <c r="C2" s="63">
        <v>2017</v>
      </c>
      <c r="D2" s="63">
        <v>2018</v>
      </c>
      <c r="E2" s="63">
        <v>2019</v>
      </c>
      <c r="F2" s="63">
        <v>2020</v>
      </c>
      <c r="G2" s="63">
        <v>2021</v>
      </c>
      <c r="H2" s="63">
        <v>2022</v>
      </c>
      <c r="I2" s="63">
        <v>2023</v>
      </c>
      <c r="J2" s="63">
        <v>2024</v>
      </c>
      <c r="K2" s="63">
        <v>2025</v>
      </c>
      <c r="L2" s="63">
        <v>2026</v>
      </c>
      <c r="M2" s="63">
        <v>2027</v>
      </c>
      <c r="N2" s="63">
        <v>2028</v>
      </c>
      <c r="O2" s="63">
        <v>2029</v>
      </c>
      <c r="P2" s="63">
        <v>2030</v>
      </c>
      <c r="Q2" s="63">
        <v>2031</v>
      </c>
      <c r="R2" s="63">
        <v>2032</v>
      </c>
      <c r="S2" s="63">
        <v>2033</v>
      </c>
      <c r="T2" s="63">
        <v>2034</v>
      </c>
      <c r="U2" s="63">
        <v>2035</v>
      </c>
    </row>
    <row r="3" spans="1:26">
      <c r="A3" s="62"/>
      <c r="B3" s="63">
        <v>12</v>
      </c>
      <c r="C3" s="63">
        <v>12</v>
      </c>
      <c r="D3" s="63">
        <v>12</v>
      </c>
      <c r="E3" s="63">
        <v>12</v>
      </c>
      <c r="F3" s="63">
        <v>12</v>
      </c>
      <c r="G3" s="63">
        <v>12</v>
      </c>
      <c r="H3" s="63">
        <v>12</v>
      </c>
      <c r="I3" s="63">
        <v>12</v>
      </c>
      <c r="J3" s="63">
        <v>12</v>
      </c>
      <c r="K3" s="63">
        <v>12</v>
      </c>
      <c r="L3" s="63">
        <v>12</v>
      </c>
      <c r="M3" s="63">
        <v>12</v>
      </c>
      <c r="N3" s="63">
        <v>12</v>
      </c>
      <c r="O3" s="63">
        <v>12</v>
      </c>
      <c r="P3" s="63">
        <v>12</v>
      </c>
      <c r="Q3" s="63">
        <v>12</v>
      </c>
      <c r="R3" s="63">
        <v>12</v>
      </c>
      <c r="S3" s="63">
        <v>12</v>
      </c>
      <c r="T3" s="63">
        <v>12</v>
      </c>
      <c r="U3" s="63">
        <v>12</v>
      </c>
    </row>
    <row r="4" spans="1:26" ht="108.75" customHeight="1">
      <c r="A4" s="64" t="s">
        <v>124</v>
      </c>
      <c r="B4" s="67">
        <v>7233543.2880606968</v>
      </c>
      <c r="C4" s="67">
        <v>7294811.9502796214</v>
      </c>
      <c r="D4" s="67">
        <v>7357305.9857429257</v>
      </c>
      <c r="E4" s="67">
        <v>7421049.9019154953</v>
      </c>
      <c r="F4" s="67">
        <v>7486068.6964115165</v>
      </c>
      <c r="G4" s="67">
        <v>7552387.8667974565</v>
      </c>
      <c r="H4" s="67">
        <v>7620033.4205911178</v>
      </c>
      <c r="I4" s="67">
        <v>7689031.8854606505</v>
      </c>
      <c r="J4" s="67">
        <v>7759410.3196275756</v>
      </c>
      <c r="K4" s="67">
        <v>7831196.3224778371</v>
      </c>
      <c r="L4" s="67">
        <v>7904418.0453851055</v>
      </c>
      <c r="M4" s="67">
        <v>7979104.2027505189</v>
      </c>
      <c r="N4" s="67">
        <v>8055284.0832632408</v>
      </c>
      <c r="O4" s="67">
        <v>8132987.5613862146</v>
      </c>
      <c r="P4" s="67">
        <v>8212245.1090716515</v>
      </c>
      <c r="Q4" s="67">
        <v>8293087.8077107947</v>
      </c>
      <c r="R4" s="67">
        <v>8375547.3603227222</v>
      </c>
      <c r="S4" s="67">
        <v>8459656.1039868873</v>
      </c>
      <c r="T4" s="67">
        <v>8545447.0225243364</v>
      </c>
      <c r="U4" s="67">
        <v>8632953.7594325338</v>
      </c>
      <c r="V4" s="60"/>
      <c r="W4" s="60"/>
      <c r="X4" s="60"/>
      <c r="Y4" s="60"/>
      <c r="Z4" s="60"/>
    </row>
    <row r="5" spans="1:26">
      <c r="A5" s="63" t="s">
        <v>125</v>
      </c>
      <c r="B5" s="65">
        <f>B4/B3</f>
        <v>602795.27400505811</v>
      </c>
      <c r="C5" s="65">
        <f>C4/C3</f>
        <v>607900.99585663516</v>
      </c>
      <c r="D5" s="65">
        <f t="shared" ref="D5:U5" si="0">D4/D3</f>
        <v>613108.83214524377</v>
      </c>
      <c r="E5" s="65">
        <f t="shared" si="0"/>
        <v>618420.82515962457</v>
      </c>
      <c r="F5" s="65">
        <f t="shared" si="0"/>
        <v>623839.058034293</v>
      </c>
      <c r="G5" s="65">
        <f t="shared" si="0"/>
        <v>629365.65556645475</v>
      </c>
      <c r="H5" s="65">
        <f t="shared" si="0"/>
        <v>635002.78504925978</v>
      </c>
      <c r="I5" s="65">
        <f t="shared" si="0"/>
        <v>640752.65712172084</v>
      </c>
      <c r="J5" s="65">
        <f t="shared" si="0"/>
        <v>646617.52663563134</v>
      </c>
      <c r="K5" s="65">
        <f t="shared" si="0"/>
        <v>652599.6935398198</v>
      </c>
      <c r="L5" s="65">
        <f t="shared" si="0"/>
        <v>658701.50378209213</v>
      </c>
      <c r="M5" s="65">
        <f t="shared" si="0"/>
        <v>664925.35022920987</v>
      </c>
      <c r="N5" s="65">
        <f t="shared" si="0"/>
        <v>671273.6736052701</v>
      </c>
      <c r="O5" s="65">
        <f t="shared" si="0"/>
        <v>677748.96344885125</v>
      </c>
      <c r="P5" s="65">
        <f t="shared" si="0"/>
        <v>684353.75908930425</v>
      </c>
      <c r="Q5" s="65">
        <f t="shared" si="0"/>
        <v>691090.65064256627</v>
      </c>
      <c r="R5" s="65">
        <f t="shared" si="0"/>
        <v>697962.28002689348</v>
      </c>
      <c r="S5" s="65">
        <f t="shared" si="0"/>
        <v>704971.34199890727</v>
      </c>
      <c r="T5" s="65">
        <f t="shared" si="0"/>
        <v>712120.5852103614</v>
      </c>
      <c r="U5" s="65">
        <f t="shared" si="0"/>
        <v>719412.81328604452</v>
      </c>
    </row>
    <row r="6" spans="1:26">
      <c r="A6" s="63" t="s">
        <v>126</v>
      </c>
      <c r="B6" s="63">
        <v>9</v>
      </c>
      <c r="C6" s="63">
        <v>9</v>
      </c>
      <c r="D6" s="63">
        <v>9</v>
      </c>
      <c r="E6" s="63">
        <v>9</v>
      </c>
      <c r="F6" s="63">
        <v>9</v>
      </c>
      <c r="G6" s="63">
        <v>9</v>
      </c>
      <c r="H6" s="63">
        <v>9</v>
      </c>
      <c r="I6" s="63">
        <v>9</v>
      </c>
      <c r="J6" s="63">
        <v>9</v>
      </c>
      <c r="K6" s="63">
        <v>9</v>
      </c>
      <c r="L6" s="63">
        <v>9</v>
      </c>
      <c r="M6" s="63">
        <v>9</v>
      </c>
      <c r="N6" s="63">
        <v>9</v>
      </c>
      <c r="O6" s="63">
        <v>9</v>
      </c>
      <c r="P6" s="63">
        <v>9</v>
      </c>
      <c r="Q6" s="63">
        <v>9</v>
      </c>
      <c r="R6" s="63">
        <v>9</v>
      </c>
      <c r="S6" s="63">
        <v>9</v>
      </c>
      <c r="T6" s="63">
        <v>9</v>
      </c>
      <c r="U6" s="63">
        <v>9</v>
      </c>
    </row>
    <row r="7" spans="1:26" ht="30">
      <c r="A7" s="66" t="s">
        <v>127</v>
      </c>
      <c r="B7" s="63">
        <v>0</v>
      </c>
      <c r="C7" s="63">
        <v>3</v>
      </c>
      <c r="D7" s="63">
        <v>3</v>
      </c>
      <c r="E7" s="63">
        <v>3</v>
      </c>
      <c r="F7" s="63">
        <v>3</v>
      </c>
      <c r="G7" s="63">
        <v>3</v>
      </c>
      <c r="H7" s="63">
        <v>3</v>
      </c>
      <c r="I7" s="63">
        <v>3</v>
      </c>
      <c r="J7" s="63">
        <v>3</v>
      </c>
      <c r="K7" s="63">
        <v>3</v>
      </c>
      <c r="L7" s="63">
        <v>3</v>
      </c>
      <c r="M7" s="63">
        <v>3</v>
      </c>
      <c r="N7" s="63">
        <v>3</v>
      </c>
      <c r="O7" s="63">
        <v>3</v>
      </c>
      <c r="P7" s="63">
        <v>3</v>
      </c>
      <c r="Q7" s="63">
        <v>3</v>
      </c>
      <c r="R7" s="63">
        <v>3</v>
      </c>
      <c r="S7" s="63">
        <v>3</v>
      </c>
      <c r="T7" s="63">
        <v>3</v>
      </c>
      <c r="U7" s="63">
        <v>3</v>
      </c>
    </row>
    <row r="8" spans="1:26">
      <c r="A8" s="63" t="s">
        <v>128</v>
      </c>
      <c r="B8" s="65">
        <f>B5*B6</f>
        <v>5425157.4660455231</v>
      </c>
      <c r="C8" s="65">
        <f>C6*C5+C7*B5</f>
        <v>7279494.7847248912</v>
      </c>
      <c r="D8" s="65">
        <f>D6*D5+D7*C5</f>
        <v>7341682.4768770989</v>
      </c>
      <c r="E8" s="65">
        <f t="shared" ref="E8:U8" si="1">E6*E5+E7*D5</f>
        <v>7405113.9228723515</v>
      </c>
      <c r="F8" s="65">
        <f t="shared" si="1"/>
        <v>7469813.997787511</v>
      </c>
      <c r="G8" s="65">
        <f t="shared" si="1"/>
        <v>7535808.074200972</v>
      </c>
      <c r="H8" s="65">
        <f>H6*H5+H7*G5</f>
        <v>7603122.0321427025</v>
      </c>
      <c r="I8" s="65">
        <f t="shared" si="1"/>
        <v>7671782.2692432664</v>
      </c>
      <c r="J8" s="65">
        <f t="shared" si="1"/>
        <v>7741815.7110858448</v>
      </c>
      <c r="K8" s="65">
        <f t="shared" si="1"/>
        <v>7813249.8217652719</v>
      </c>
      <c r="L8" s="65">
        <f t="shared" si="1"/>
        <v>7886112.6146582887</v>
      </c>
      <c r="M8" s="65">
        <f t="shared" si="1"/>
        <v>7960432.663409166</v>
      </c>
      <c r="N8" s="65">
        <f t="shared" si="1"/>
        <v>8036239.1131350603</v>
      </c>
      <c r="O8" s="65">
        <f t="shared" si="1"/>
        <v>8113561.6918554716</v>
      </c>
      <c r="P8" s="65">
        <f t="shared" si="1"/>
        <v>8192430.7221502922</v>
      </c>
      <c r="Q8" s="65">
        <f t="shared" si="1"/>
        <v>8272877.1330510098</v>
      </c>
      <c r="R8" s="65">
        <f t="shared" si="1"/>
        <v>8354932.4721697401</v>
      </c>
      <c r="S8" s="65">
        <f t="shared" si="1"/>
        <v>8438628.9180708453</v>
      </c>
      <c r="T8" s="65">
        <f t="shared" si="1"/>
        <v>8523999.292889975</v>
      </c>
      <c r="U8" s="65">
        <f t="shared" si="1"/>
        <v>8611077.0752054844</v>
      </c>
    </row>
    <row r="10" spans="1:26">
      <c r="A10" s="61" t="s">
        <v>123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6">
      <c r="A11" s="62"/>
      <c r="B11" s="63">
        <v>2016</v>
      </c>
      <c r="C11" s="63">
        <v>2017</v>
      </c>
      <c r="D11" s="63">
        <v>2018</v>
      </c>
      <c r="E11" s="63">
        <v>2019</v>
      </c>
      <c r="F11" s="63">
        <v>2020</v>
      </c>
      <c r="G11" s="63">
        <v>2021</v>
      </c>
      <c r="H11" s="63">
        <v>2022</v>
      </c>
      <c r="I11" s="63">
        <v>2023</v>
      </c>
      <c r="J11" s="63">
        <v>2024</v>
      </c>
      <c r="K11" s="63">
        <v>2025</v>
      </c>
      <c r="L11" s="63">
        <v>2026</v>
      </c>
      <c r="M11" s="63">
        <v>2027</v>
      </c>
      <c r="N11" s="63">
        <v>2028</v>
      </c>
      <c r="O11" s="63">
        <v>2029</v>
      </c>
      <c r="P11" s="63">
        <v>2030</v>
      </c>
      <c r="Q11" s="63">
        <v>2031</v>
      </c>
      <c r="R11" s="63">
        <v>2032</v>
      </c>
      <c r="S11" s="63">
        <v>2033</v>
      </c>
      <c r="T11" s="63">
        <v>2034</v>
      </c>
      <c r="U11" s="63">
        <v>2035</v>
      </c>
    </row>
    <row r="12" spans="1:26">
      <c r="A12" s="62"/>
      <c r="B12" s="63">
        <v>12</v>
      </c>
      <c r="C12" s="63">
        <v>12</v>
      </c>
      <c r="D12" s="63">
        <v>12</v>
      </c>
      <c r="E12" s="63">
        <v>12</v>
      </c>
      <c r="F12" s="63">
        <v>12</v>
      </c>
      <c r="G12" s="63">
        <v>12</v>
      </c>
      <c r="H12" s="63">
        <v>12</v>
      </c>
      <c r="I12" s="63">
        <v>12</v>
      </c>
      <c r="J12" s="63">
        <v>12</v>
      </c>
      <c r="K12" s="63">
        <v>12</v>
      </c>
      <c r="L12" s="63">
        <v>12</v>
      </c>
      <c r="M12" s="63">
        <v>12</v>
      </c>
      <c r="N12" s="63">
        <v>12</v>
      </c>
      <c r="O12" s="63">
        <v>12</v>
      </c>
      <c r="P12" s="63">
        <v>12</v>
      </c>
      <c r="Q12" s="63">
        <v>12</v>
      </c>
      <c r="R12" s="63">
        <v>12</v>
      </c>
      <c r="S12" s="63">
        <v>12</v>
      </c>
      <c r="T12" s="63">
        <v>12</v>
      </c>
      <c r="U12" s="63">
        <v>12</v>
      </c>
    </row>
    <row r="13" spans="1:26" ht="90">
      <c r="A13" s="64" t="s">
        <v>130</v>
      </c>
      <c r="B13" s="65">
        <v>6248261.0084011741</v>
      </c>
      <c r="C13" s="65">
        <v>6283543.1726125721</v>
      </c>
      <c r="D13" s="65">
        <v>6301184.2547182702</v>
      </c>
      <c r="E13" s="65">
        <v>6337172.0622138958</v>
      </c>
      <c r="F13" s="65">
        <v>6355165.9659617078</v>
      </c>
      <c r="G13" s="65">
        <v>6391873.5296072457</v>
      </c>
      <c r="H13" s="65">
        <v>6410227.3114300147</v>
      </c>
      <c r="I13" s="65">
        <v>6447669.0263484623</v>
      </c>
      <c r="J13" s="65">
        <v>6466389.8838076871</v>
      </c>
      <c r="K13" s="65">
        <v>6504580.4330245042</v>
      </c>
      <c r="L13" s="65">
        <v>6523675.7076329133</v>
      </c>
      <c r="M13" s="65">
        <v>6562630.0678340662</v>
      </c>
      <c r="N13" s="65">
        <v>6582107.2479346432</v>
      </c>
      <c r="O13" s="65">
        <v>6621840.6953398203</v>
      </c>
      <c r="P13" s="65">
        <v>6641707.4190424085</v>
      </c>
      <c r="Q13" s="65">
        <v>6682235.5353956893</v>
      </c>
      <c r="R13" s="65">
        <v>6702499.5935723297</v>
      </c>
      <c r="S13" s="65">
        <v>6743838.2722526751</v>
      </c>
      <c r="T13" s="65">
        <v>6764507.6115928479</v>
      </c>
      <c r="U13" s="65">
        <v>6806673.0638468005</v>
      </c>
    </row>
    <row r="14" spans="1:26">
      <c r="A14" s="63" t="s">
        <v>125</v>
      </c>
      <c r="B14" s="65">
        <f>B13/B12</f>
        <v>520688.41736676451</v>
      </c>
      <c r="C14" s="65">
        <f>C13/C12</f>
        <v>523628.59771771432</v>
      </c>
      <c r="D14" s="65">
        <f t="shared" ref="D14" si="2">D13/D12</f>
        <v>525098.68789318914</v>
      </c>
      <c r="E14" s="65">
        <f t="shared" ref="E14" si="3">E13/E12</f>
        <v>528097.67185115803</v>
      </c>
      <c r="F14" s="65">
        <f t="shared" ref="F14" si="4">F13/F12</f>
        <v>529597.16383014235</v>
      </c>
      <c r="G14" s="65">
        <f t="shared" ref="G14" si="5">G13/G12</f>
        <v>532656.12746727047</v>
      </c>
      <c r="H14" s="65">
        <f t="shared" ref="H14" si="6">H13/H12</f>
        <v>534185.60928583459</v>
      </c>
      <c r="I14" s="65">
        <f t="shared" ref="I14" si="7">I13/I12</f>
        <v>537305.75219570519</v>
      </c>
      <c r="J14" s="65">
        <f t="shared" ref="J14" si="8">J13/J12</f>
        <v>538865.82365064055</v>
      </c>
      <c r="K14" s="65">
        <f t="shared" ref="K14" si="9">K13/K12</f>
        <v>542048.36941870872</v>
      </c>
      <c r="L14" s="65">
        <f t="shared" ref="L14" si="10">L13/L12</f>
        <v>543639.64230274281</v>
      </c>
      <c r="M14" s="65">
        <f t="shared" ref="M14" si="11">M13/M12</f>
        <v>546885.83898617222</v>
      </c>
      <c r="N14" s="65">
        <f t="shared" ref="N14" si="12">N13/N12</f>
        <v>548508.93732788693</v>
      </c>
      <c r="O14" s="65">
        <f t="shared" ref="O14" si="13">O13/O12</f>
        <v>551820.05794498499</v>
      </c>
      <c r="P14" s="65">
        <f t="shared" ref="P14" si="14">P13/P12</f>
        <v>553475.61825353408</v>
      </c>
      <c r="Q14" s="65">
        <f t="shared" ref="Q14" si="15">Q13/Q12</f>
        <v>556852.96128297411</v>
      </c>
      <c r="R14" s="65">
        <f t="shared" ref="R14" si="16">R13/R12</f>
        <v>558541.63279769418</v>
      </c>
      <c r="S14" s="65">
        <f t="shared" ref="S14" si="17">S13/S12</f>
        <v>561986.52268772293</v>
      </c>
      <c r="T14" s="65">
        <f t="shared" ref="T14" si="18">T13/T12</f>
        <v>563708.96763273736</v>
      </c>
      <c r="U14" s="65">
        <f t="shared" ref="U14" si="19">U13/U12</f>
        <v>567222.75532056671</v>
      </c>
    </row>
    <row r="15" spans="1:26">
      <c r="A15" s="63" t="s">
        <v>126</v>
      </c>
      <c r="B15" s="63">
        <v>8</v>
      </c>
      <c r="C15" s="63">
        <v>8</v>
      </c>
      <c r="D15" s="63">
        <v>8</v>
      </c>
      <c r="E15" s="63">
        <v>8</v>
      </c>
      <c r="F15" s="63">
        <v>8</v>
      </c>
      <c r="G15" s="63">
        <v>8</v>
      </c>
      <c r="H15" s="63">
        <v>8</v>
      </c>
      <c r="I15" s="63">
        <v>8</v>
      </c>
      <c r="J15" s="63">
        <v>8</v>
      </c>
      <c r="K15" s="63">
        <v>8</v>
      </c>
      <c r="L15" s="63">
        <v>8</v>
      </c>
      <c r="M15" s="63">
        <v>8</v>
      </c>
      <c r="N15" s="63">
        <v>8</v>
      </c>
      <c r="O15" s="63">
        <v>8</v>
      </c>
      <c r="P15" s="63">
        <v>8</v>
      </c>
      <c r="Q15" s="63">
        <v>8</v>
      </c>
      <c r="R15" s="63">
        <v>8</v>
      </c>
      <c r="S15" s="63">
        <v>8</v>
      </c>
      <c r="T15" s="63">
        <v>8</v>
      </c>
      <c r="U15" s="63">
        <v>8</v>
      </c>
    </row>
    <row r="16" spans="1:26" ht="30">
      <c r="A16" s="66" t="s">
        <v>127</v>
      </c>
      <c r="B16" s="63">
        <v>0</v>
      </c>
      <c r="C16" s="63">
        <v>4</v>
      </c>
      <c r="D16" s="63">
        <v>4</v>
      </c>
      <c r="E16" s="63">
        <v>4</v>
      </c>
      <c r="F16" s="63">
        <v>4</v>
      </c>
      <c r="G16" s="63">
        <v>4</v>
      </c>
      <c r="H16" s="63">
        <v>4</v>
      </c>
      <c r="I16" s="63">
        <v>4</v>
      </c>
      <c r="J16" s="63">
        <v>4</v>
      </c>
      <c r="K16" s="63">
        <v>4</v>
      </c>
      <c r="L16" s="63">
        <v>4</v>
      </c>
      <c r="M16" s="63">
        <v>4</v>
      </c>
      <c r="N16" s="63">
        <v>4</v>
      </c>
      <c r="O16" s="63">
        <v>4</v>
      </c>
      <c r="P16" s="63">
        <v>4</v>
      </c>
      <c r="Q16" s="63">
        <v>4</v>
      </c>
      <c r="R16" s="63">
        <v>4</v>
      </c>
      <c r="S16" s="63">
        <v>4</v>
      </c>
      <c r="T16" s="63">
        <v>4</v>
      </c>
      <c r="U16" s="63">
        <v>4</v>
      </c>
    </row>
    <row r="17" spans="1:21">
      <c r="A17" s="63" t="s">
        <v>128</v>
      </c>
      <c r="B17" s="65">
        <f>B14*B15</f>
        <v>4165507.3389341161</v>
      </c>
      <c r="C17" s="65">
        <f>C15*C14+C16*B14</f>
        <v>6271782.4512087721</v>
      </c>
      <c r="D17" s="65">
        <f>D15*D14+D16*C14</f>
        <v>6295303.8940163702</v>
      </c>
      <c r="E17" s="65">
        <f t="shared" ref="E17" si="20">E15*E14+E16*D14</f>
        <v>6325176.1263820212</v>
      </c>
      <c r="F17" s="65">
        <f t="shared" ref="F17" si="21">F15*F14+F16*E14</f>
        <v>6349167.9980457705</v>
      </c>
      <c r="G17" s="65">
        <f t="shared" ref="G17" si="22">G15*G14+G16*F14</f>
        <v>6379637.6750587337</v>
      </c>
      <c r="H17" s="65">
        <f>H15*H14+H16*G14</f>
        <v>6404109.3841557587</v>
      </c>
      <c r="I17" s="65">
        <f t="shared" ref="I17" si="23">I15*I14+I16*H14</f>
        <v>6435188.4547089804</v>
      </c>
      <c r="J17" s="65">
        <f t="shared" ref="J17" si="24">J15*J14+J16*I14</f>
        <v>6460149.5979879452</v>
      </c>
      <c r="K17" s="65">
        <f t="shared" ref="K17" si="25">K15*K14+K16*J14</f>
        <v>6491850.2499522325</v>
      </c>
      <c r="L17" s="65">
        <f t="shared" ref="L17" si="26">L15*L14+L16*K14</f>
        <v>6517310.6160967778</v>
      </c>
      <c r="M17" s="65">
        <f t="shared" ref="M17" si="27">M15*M14+M16*L14</f>
        <v>6549645.2811003495</v>
      </c>
      <c r="N17" s="65">
        <f t="shared" ref="N17" si="28">N15*N14+N16*M14</f>
        <v>6575614.8545677848</v>
      </c>
      <c r="O17" s="65">
        <f t="shared" ref="O17" si="29">O15*O14+O16*N14</f>
        <v>6608596.2128714276</v>
      </c>
      <c r="P17" s="65">
        <f t="shared" ref="P17" si="30">P15*P14+P16*O14</f>
        <v>6635085.1778082121</v>
      </c>
      <c r="Q17" s="65">
        <f t="shared" ref="Q17" si="31">Q15*Q14+Q16*P14</f>
        <v>6668726.1632779296</v>
      </c>
      <c r="R17" s="65">
        <f t="shared" ref="R17" si="32">R15*R14+R16*Q14</f>
        <v>6695744.9075134499</v>
      </c>
      <c r="S17" s="65">
        <f t="shared" ref="S17" si="33">S15*S14+S16*R14</f>
        <v>6730058.7126925606</v>
      </c>
      <c r="T17" s="65">
        <f t="shared" ref="T17" si="34">T15*T14+T16*S14</f>
        <v>6757617.8318127906</v>
      </c>
      <c r="U17" s="65">
        <f t="shared" ref="U17" si="35">U15*U14+U16*T14</f>
        <v>6792617.9130954836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5" sqref="O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PPP Contracts</vt:lpstr>
      <vt:lpstr>Φύλλο1</vt:lpstr>
      <vt:lpstr>GRAPHS</vt:lpstr>
      <vt:lpstr>'PPP Contracts'!Print_Area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Your User Name</cp:lastModifiedBy>
  <cp:lastPrinted>2017-02-07T11:14:57Z</cp:lastPrinted>
  <dcterms:created xsi:type="dcterms:W3CDTF">2014-08-08T10:06:32Z</dcterms:created>
  <dcterms:modified xsi:type="dcterms:W3CDTF">2017-07-26T14:02:49Z</dcterms:modified>
</cp:coreProperties>
</file>